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drawings/drawing2.xml" ContentType="application/vnd.openxmlformats-officedocument.drawing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xl/tables/table169.xml" ContentType="application/vnd.openxmlformats-officedocument.spreadsheetml.table+xml"/>
  <Override PartName="/xl/tables/table170.xml" ContentType="application/vnd.openxmlformats-officedocument.spreadsheetml.table+xml"/>
  <Override PartName="/xl/tables/table171.xml" ContentType="application/vnd.openxmlformats-officedocument.spreadsheetml.table+xml"/>
  <Override PartName="/xl/tables/table172.xml" ContentType="application/vnd.openxmlformats-officedocument.spreadsheetml.table+xml"/>
  <Override PartName="/xl/tables/table173.xml" ContentType="application/vnd.openxmlformats-officedocument.spreadsheetml.table+xml"/>
  <Override PartName="/xl/tables/table174.xml" ContentType="application/vnd.openxmlformats-officedocument.spreadsheetml.table+xml"/>
  <Override PartName="/xl/tables/table175.xml" ContentType="application/vnd.openxmlformats-officedocument.spreadsheetml.table+xml"/>
  <Override PartName="/xl/tables/table176.xml" ContentType="application/vnd.openxmlformats-officedocument.spreadsheetml.table+xml"/>
  <Override PartName="/xl/tables/table177.xml" ContentType="application/vnd.openxmlformats-officedocument.spreadsheetml.table+xml"/>
  <Override PartName="/xl/tables/table178.xml" ContentType="application/vnd.openxmlformats-officedocument.spreadsheetml.table+xml"/>
  <Override PartName="/xl/tables/table179.xml" ContentType="application/vnd.openxmlformats-officedocument.spreadsheetml.table+xml"/>
  <Override PartName="/xl/tables/table180.xml" ContentType="application/vnd.openxmlformats-officedocument.spreadsheetml.table+xml"/>
  <Override PartName="/xl/tables/table181.xml" ContentType="application/vnd.openxmlformats-officedocument.spreadsheetml.table+xml"/>
  <Override PartName="/xl/tables/table182.xml" ContentType="application/vnd.openxmlformats-officedocument.spreadsheetml.table+xml"/>
  <Override PartName="/xl/tables/table183.xml" ContentType="application/vnd.openxmlformats-officedocument.spreadsheetml.table+xml"/>
  <Override PartName="/xl/tables/table184.xml" ContentType="application/vnd.openxmlformats-officedocument.spreadsheetml.table+xml"/>
  <Override PartName="/xl/tables/table185.xml" ContentType="application/vnd.openxmlformats-officedocument.spreadsheetml.tab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tables/table186.xml" ContentType="application/vnd.openxmlformats-officedocument.spreadsheetml.table+xml"/>
  <Override PartName="/xl/tables/table187.xml" ContentType="application/vnd.openxmlformats-officedocument.spreadsheetml.table+xml"/>
  <Override PartName="/xl/tables/table188.xml" ContentType="application/vnd.openxmlformats-officedocument.spreadsheetml.table+xml"/>
  <Override PartName="/xl/tables/table189.xml" ContentType="application/vnd.openxmlformats-officedocument.spreadsheetml.table+xml"/>
  <Override PartName="/xl/tables/table190.xml" ContentType="application/vnd.openxmlformats-officedocument.spreadsheetml.table+xml"/>
  <Override PartName="/xl/tables/table191.xml" ContentType="application/vnd.openxmlformats-officedocument.spreadsheetml.table+xml"/>
  <Override PartName="/xl/tables/table192.xml" ContentType="application/vnd.openxmlformats-officedocument.spreadsheetml.table+xml"/>
  <Override PartName="/xl/tables/table193.xml" ContentType="application/vnd.openxmlformats-officedocument.spreadsheetml.table+xml"/>
  <Override PartName="/xl/tables/table194.xml" ContentType="application/vnd.openxmlformats-officedocument.spreadsheetml.table+xml"/>
  <Override PartName="/xl/tables/table195.xml" ContentType="application/vnd.openxmlformats-officedocument.spreadsheetml.table+xml"/>
  <Override PartName="/xl/tables/table196.xml" ContentType="application/vnd.openxmlformats-officedocument.spreadsheetml.table+xml"/>
  <Override PartName="/xl/tables/table197.xml" ContentType="application/vnd.openxmlformats-officedocument.spreadsheetml.table+xml"/>
  <Override PartName="/xl/tables/table198.xml" ContentType="application/vnd.openxmlformats-officedocument.spreadsheetml.table+xml"/>
  <Override PartName="/xl/tables/table199.xml" ContentType="application/vnd.openxmlformats-officedocument.spreadsheetml.table+xml"/>
  <Override PartName="/xl/tables/table200.xml" ContentType="application/vnd.openxmlformats-officedocument.spreadsheetml.table+xml"/>
  <Override PartName="/xl/tables/table201.xml" ContentType="application/vnd.openxmlformats-officedocument.spreadsheetml.table+xml"/>
  <Override PartName="/xl/tables/table202.xml" ContentType="application/vnd.openxmlformats-officedocument.spreadsheetml.table+xml"/>
  <Override PartName="/xl/tables/table203.xml" ContentType="application/vnd.openxmlformats-officedocument.spreadsheetml.table+xml"/>
  <Override PartName="/xl/tables/table204.xml" ContentType="application/vnd.openxmlformats-officedocument.spreadsheetml.table+xml"/>
  <Override PartName="/xl/tables/table205.xml" ContentType="application/vnd.openxmlformats-officedocument.spreadsheetml.table+xml"/>
  <Override PartName="/xl/tables/table206.xml" ContentType="application/vnd.openxmlformats-officedocument.spreadsheetml.table+xml"/>
  <Override PartName="/xl/tables/table207.xml" ContentType="application/vnd.openxmlformats-officedocument.spreadsheetml.table+xml"/>
  <Override PartName="/xl/tables/table208.xml" ContentType="application/vnd.openxmlformats-officedocument.spreadsheetml.table+xml"/>
  <Override PartName="/xl/tables/table209.xml" ContentType="application/vnd.openxmlformats-officedocument.spreadsheetml.table+xml"/>
  <Override PartName="/xl/tables/table210.xml" ContentType="application/vnd.openxmlformats-officedocument.spreadsheetml.table+xml"/>
  <Override PartName="/xl/tables/table211.xml" ContentType="application/vnd.openxmlformats-officedocument.spreadsheetml.table+xml"/>
  <Override PartName="/xl/tables/table212.xml" ContentType="application/vnd.openxmlformats-officedocument.spreadsheetml.table+xml"/>
  <Override PartName="/xl/tables/table213.xml" ContentType="application/vnd.openxmlformats-officedocument.spreadsheetml.table+xml"/>
  <Override PartName="/xl/tables/table214.xml" ContentType="application/vnd.openxmlformats-officedocument.spreadsheetml.table+xml"/>
  <Override PartName="/xl/tables/table215.xml" ContentType="application/vnd.openxmlformats-officedocument.spreadsheetml.table+xml"/>
  <Override PartName="/xl/tables/table216.xml" ContentType="application/vnd.openxmlformats-officedocument.spreadsheetml.table+xml"/>
  <Override PartName="/xl/tables/table217.xml" ContentType="application/vnd.openxmlformats-officedocument.spreadsheetml.tab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tables/table218.xml" ContentType="application/vnd.openxmlformats-officedocument.spreadsheetml.table+xml"/>
  <Override PartName="/xl/tables/table219.xml" ContentType="application/vnd.openxmlformats-officedocument.spreadsheetml.table+xml"/>
  <Override PartName="/xl/tables/table220.xml" ContentType="application/vnd.openxmlformats-officedocument.spreadsheetml.table+xml"/>
  <Override PartName="/xl/tables/table221.xml" ContentType="application/vnd.openxmlformats-officedocument.spreadsheetml.table+xml"/>
  <Override PartName="/xl/tables/table222.xml" ContentType="application/vnd.openxmlformats-officedocument.spreadsheetml.table+xml"/>
  <Override PartName="/xl/tables/table223.xml" ContentType="application/vnd.openxmlformats-officedocument.spreadsheetml.table+xml"/>
  <Override PartName="/xl/tables/table224.xml" ContentType="application/vnd.openxmlformats-officedocument.spreadsheetml.table+xml"/>
  <Override PartName="/xl/tables/table225.xml" ContentType="application/vnd.openxmlformats-officedocument.spreadsheetml.table+xml"/>
  <Override PartName="/xl/tables/table226.xml" ContentType="application/vnd.openxmlformats-officedocument.spreadsheetml.table+xml"/>
  <Override PartName="/xl/tables/table227.xml" ContentType="application/vnd.openxmlformats-officedocument.spreadsheetml.table+xml"/>
  <Override PartName="/xl/tables/table228.xml" ContentType="application/vnd.openxmlformats-officedocument.spreadsheetml.table+xml"/>
  <Override PartName="/xl/tables/table229.xml" ContentType="application/vnd.openxmlformats-officedocument.spreadsheetml.table+xml"/>
  <Override PartName="/xl/tables/table230.xml" ContentType="application/vnd.openxmlformats-officedocument.spreadsheetml.table+xml"/>
  <Override PartName="/xl/tables/table231.xml" ContentType="application/vnd.openxmlformats-officedocument.spreadsheetml.table+xml"/>
  <Override PartName="/xl/tables/table232.xml" ContentType="application/vnd.openxmlformats-officedocument.spreadsheetml.table+xml"/>
  <Override PartName="/xl/tables/table233.xml" ContentType="application/vnd.openxmlformats-officedocument.spreadsheetml.table+xml"/>
  <Override PartName="/xl/tables/table234.xml" ContentType="application/vnd.openxmlformats-officedocument.spreadsheetml.table+xml"/>
  <Override PartName="/xl/tables/table235.xml" ContentType="application/vnd.openxmlformats-officedocument.spreadsheetml.table+xml"/>
  <Override PartName="/xl/tables/table236.xml" ContentType="application/vnd.openxmlformats-officedocument.spreadsheetml.table+xml"/>
  <Override PartName="/xl/tables/table237.xml" ContentType="application/vnd.openxmlformats-officedocument.spreadsheetml.table+xml"/>
  <Override PartName="/xl/tables/table238.xml" ContentType="application/vnd.openxmlformats-officedocument.spreadsheetml.table+xml"/>
  <Override PartName="/xl/tables/table239.xml" ContentType="application/vnd.openxmlformats-officedocument.spreadsheetml.table+xml"/>
  <Override PartName="/xl/tables/table240.xml" ContentType="application/vnd.openxmlformats-officedocument.spreadsheetml.table+xml"/>
  <Override PartName="/xl/tables/table241.xml" ContentType="application/vnd.openxmlformats-officedocument.spreadsheetml.table+xml"/>
  <Override PartName="/xl/tables/table242.xml" ContentType="application/vnd.openxmlformats-officedocument.spreadsheetml.table+xml"/>
  <Override PartName="/xl/tables/table243.xml" ContentType="application/vnd.openxmlformats-officedocument.spreadsheetml.table+xml"/>
  <Override PartName="/xl/tables/table244.xml" ContentType="application/vnd.openxmlformats-officedocument.spreadsheetml.table+xml"/>
  <Override PartName="/xl/tables/table245.xml" ContentType="application/vnd.openxmlformats-officedocument.spreadsheetml.table+xml"/>
  <Override PartName="/xl/tables/table246.xml" ContentType="application/vnd.openxmlformats-officedocument.spreadsheetml.table+xml"/>
  <Override PartName="/xl/tables/table247.xml" ContentType="application/vnd.openxmlformats-officedocument.spreadsheetml.table+xml"/>
  <Override PartName="/xl/tables/table248.xml" ContentType="application/vnd.openxmlformats-officedocument.spreadsheetml.table+xml"/>
  <Override PartName="/xl/tables/table249.xml" ContentType="application/vnd.openxmlformats-officedocument.spreadsheetml.tab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tables/table250.xml" ContentType="application/vnd.openxmlformats-officedocument.spreadsheetml.table+xml"/>
  <Override PartName="/xl/tables/table251.xml" ContentType="application/vnd.openxmlformats-officedocument.spreadsheetml.table+xml"/>
  <Override PartName="/xl/tables/table252.xml" ContentType="application/vnd.openxmlformats-officedocument.spreadsheetml.table+xml"/>
  <Override PartName="/xl/tables/table253.xml" ContentType="application/vnd.openxmlformats-officedocument.spreadsheetml.table+xml"/>
  <Override PartName="/xl/tables/table254.xml" ContentType="application/vnd.openxmlformats-officedocument.spreadsheetml.table+xml"/>
  <Override PartName="/xl/tables/table255.xml" ContentType="application/vnd.openxmlformats-officedocument.spreadsheetml.table+xml"/>
  <Override PartName="/xl/tables/table256.xml" ContentType="application/vnd.openxmlformats-officedocument.spreadsheetml.table+xml"/>
  <Override PartName="/xl/tables/table257.xml" ContentType="application/vnd.openxmlformats-officedocument.spreadsheetml.table+xml"/>
  <Override PartName="/xl/tables/table258.xml" ContentType="application/vnd.openxmlformats-officedocument.spreadsheetml.table+xml"/>
  <Override PartName="/xl/tables/table259.xml" ContentType="application/vnd.openxmlformats-officedocument.spreadsheetml.table+xml"/>
  <Override PartName="/xl/tables/table260.xml" ContentType="application/vnd.openxmlformats-officedocument.spreadsheetml.table+xml"/>
  <Override PartName="/xl/tables/table261.xml" ContentType="application/vnd.openxmlformats-officedocument.spreadsheetml.table+xml"/>
  <Override PartName="/xl/tables/table262.xml" ContentType="application/vnd.openxmlformats-officedocument.spreadsheetml.table+xml"/>
  <Override PartName="/xl/tables/table263.xml" ContentType="application/vnd.openxmlformats-officedocument.spreadsheetml.table+xml"/>
  <Override PartName="/xl/tables/table264.xml" ContentType="application/vnd.openxmlformats-officedocument.spreadsheetml.table+xml"/>
  <Override PartName="/xl/tables/table265.xml" ContentType="application/vnd.openxmlformats-officedocument.spreadsheetml.table+xml"/>
  <Override PartName="/xl/tables/table266.xml" ContentType="application/vnd.openxmlformats-officedocument.spreadsheetml.table+xml"/>
  <Override PartName="/xl/tables/table267.xml" ContentType="application/vnd.openxmlformats-officedocument.spreadsheetml.table+xml"/>
  <Override PartName="/xl/tables/table268.xml" ContentType="application/vnd.openxmlformats-officedocument.spreadsheetml.table+xml"/>
  <Override PartName="/xl/tables/table269.xml" ContentType="application/vnd.openxmlformats-officedocument.spreadsheetml.table+xml"/>
  <Override PartName="/xl/tables/table270.xml" ContentType="application/vnd.openxmlformats-officedocument.spreadsheetml.table+xml"/>
  <Override PartName="/xl/tables/table271.xml" ContentType="application/vnd.openxmlformats-officedocument.spreadsheetml.table+xml"/>
  <Override PartName="/xl/tables/table272.xml" ContentType="application/vnd.openxmlformats-officedocument.spreadsheetml.table+xml"/>
  <Override PartName="/xl/tables/table273.xml" ContentType="application/vnd.openxmlformats-officedocument.spreadsheetml.table+xml"/>
  <Override PartName="/xl/tables/table274.xml" ContentType="application/vnd.openxmlformats-officedocument.spreadsheetml.table+xml"/>
  <Override PartName="/xl/tables/table275.xml" ContentType="application/vnd.openxmlformats-officedocument.spreadsheetml.table+xml"/>
  <Override PartName="/xl/tables/table276.xml" ContentType="application/vnd.openxmlformats-officedocument.spreadsheetml.table+xml"/>
  <Override PartName="/xl/tables/table277.xml" ContentType="application/vnd.openxmlformats-officedocument.spreadsheetml.table+xml"/>
  <Override PartName="/xl/tables/table278.xml" ContentType="application/vnd.openxmlformats-officedocument.spreadsheetml.table+xml"/>
  <Override PartName="/xl/tables/table279.xml" ContentType="application/vnd.openxmlformats-officedocument.spreadsheetml.table+xml"/>
  <Override PartName="/xl/tables/table280.xml" ContentType="application/vnd.openxmlformats-officedocument.spreadsheetml.table+xml"/>
  <Override PartName="/xl/tables/table281.xml" ContentType="application/vnd.openxmlformats-officedocument.spreadsheetml.tab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tables/table282.xml" ContentType="application/vnd.openxmlformats-officedocument.spreadsheetml.table+xml"/>
  <Override PartName="/xl/tables/table283.xml" ContentType="application/vnd.openxmlformats-officedocument.spreadsheetml.table+xml"/>
  <Override PartName="/xl/tables/table284.xml" ContentType="application/vnd.openxmlformats-officedocument.spreadsheetml.table+xml"/>
  <Override PartName="/xl/tables/table285.xml" ContentType="application/vnd.openxmlformats-officedocument.spreadsheetml.table+xml"/>
  <Override PartName="/xl/tables/table286.xml" ContentType="application/vnd.openxmlformats-officedocument.spreadsheetml.table+xml"/>
  <Override PartName="/xl/tables/table287.xml" ContentType="application/vnd.openxmlformats-officedocument.spreadsheetml.table+xml"/>
  <Override PartName="/xl/tables/table288.xml" ContentType="application/vnd.openxmlformats-officedocument.spreadsheetml.table+xml"/>
  <Override PartName="/xl/tables/table289.xml" ContentType="application/vnd.openxmlformats-officedocument.spreadsheetml.table+xml"/>
  <Override PartName="/xl/tables/table290.xml" ContentType="application/vnd.openxmlformats-officedocument.spreadsheetml.table+xml"/>
  <Override PartName="/xl/tables/table291.xml" ContentType="application/vnd.openxmlformats-officedocument.spreadsheetml.table+xml"/>
  <Override PartName="/xl/tables/table292.xml" ContentType="application/vnd.openxmlformats-officedocument.spreadsheetml.table+xml"/>
  <Override PartName="/xl/tables/table293.xml" ContentType="application/vnd.openxmlformats-officedocument.spreadsheetml.table+xml"/>
  <Override PartName="/xl/tables/table294.xml" ContentType="application/vnd.openxmlformats-officedocument.spreadsheetml.table+xml"/>
  <Override PartName="/xl/tables/table295.xml" ContentType="application/vnd.openxmlformats-officedocument.spreadsheetml.table+xml"/>
  <Override PartName="/xl/tables/table296.xml" ContentType="application/vnd.openxmlformats-officedocument.spreadsheetml.table+xml"/>
  <Override PartName="/xl/tables/table297.xml" ContentType="application/vnd.openxmlformats-officedocument.spreadsheetml.table+xml"/>
  <Override PartName="/xl/tables/table298.xml" ContentType="application/vnd.openxmlformats-officedocument.spreadsheetml.table+xml"/>
  <Override PartName="/xl/tables/table299.xml" ContentType="application/vnd.openxmlformats-officedocument.spreadsheetml.table+xml"/>
  <Override PartName="/xl/tables/table300.xml" ContentType="application/vnd.openxmlformats-officedocument.spreadsheetml.table+xml"/>
  <Override PartName="/xl/tables/table301.xml" ContentType="application/vnd.openxmlformats-officedocument.spreadsheetml.table+xml"/>
  <Override PartName="/xl/tables/table302.xml" ContentType="application/vnd.openxmlformats-officedocument.spreadsheetml.table+xml"/>
  <Override PartName="/xl/tables/table303.xml" ContentType="application/vnd.openxmlformats-officedocument.spreadsheetml.table+xml"/>
  <Override PartName="/xl/tables/table304.xml" ContentType="application/vnd.openxmlformats-officedocument.spreadsheetml.table+xml"/>
  <Override PartName="/xl/tables/table305.xml" ContentType="application/vnd.openxmlformats-officedocument.spreadsheetml.table+xml"/>
  <Override PartName="/xl/tables/table306.xml" ContentType="application/vnd.openxmlformats-officedocument.spreadsheetml.table+xml"/>
  <Override PartName="/xl/tables/table307.xml" ContentType="application/vnd.openxmlformats-officedocument.spreadsheetml.table+xml"/>
  <Override PartName="/xl/tables/table308.xml" ContentType="application/vnd.openxmlformats-officedocument.spreadsheetml.table+xml"/>
  <Override PartName="/xl/tables/table309.xml" ContentType="application/vnd.openxmlformats-officedocument.spreadsheetml.table+xml"/>
  <Override PartName="/xl/tables/table310.xml" ContentType="application/vnd.openxmlformats-officedocument.spreadsheetml.table+xml"/>
  <Override PartName="/xl/tables/table311.xml" ContentType="application/vnd.openxmlformats-officedocument.spreadsheetml.table+xml"/>
  <Override PartName="/xl/tables/table312.xml" ContentType="application/vnd.openxmlformats-officedocument.spreadsheetml.table+xml"/>
  <Override PartName="/xl/tables/table313.xml" ContentType="application/vnd.openxmlformats-officedocument.spreadsheetml.tab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tables/table314.xml" ContentType="application/vnd.openxmlformats-officedocument.spreadsheetml.table+xml"/>
  <Override PartName="/xl/tables/table315.xml" ContentType="application/vnd.openxmlformats-officedocument.spreadsheetml.table+xml"/>
  <Override PartName="/xl/tables/table316.xml" ContentType="application/vnd.openxmlformats-officedocument.spreadsheetml.table+xml"/>
  <Override PartName="/xl/tables/table317.xml" ContentType="application/vnd.openxmlformats-officedocument.spreadsheetml.table+xml"/>
  <Override PartName="/xl/tables/table318.xml" ContentType="application/vnd.openxmlformats-officedocument.spreadsheetml.table+xml"/>
  <Override PartName="/xl/tables/table319.xml" ContentType="application/vnd.openxmlformats-officedocument.spreadsheetml.table+xml"/>
  <Override PartName="/xl/tables/table320.xml" ContentType="application/vnd.openxmlformats-officedocument.spreadsheetml.table+xml"/>
  <Override PartName="/xl/tables/table321.xml" ContentType="application/vnd.openxmlformats-officedocument.spreadsheetml.table+xml"/>
  <Override PartName="/xl/tables/table322.xml" ContentType="application/vnd.openxmlformats-officedocument.spreadsheetml.table+xml"/>
  <Override PartName="/xl/tables/table323.xml" ContentType="application/vnd.openxmlformats-officedocument.spreadsheetml.table+xml"/>
  <Override PartName="/xl/tables/table324.xml" ContentType="application/vnd.openxmlformats-officedocument.spreadsheetml.table+xml"/>
  <Override PartName="/xl/tables/table325.xml" ContentType="application/vnd.openxmlformats-officedocument.spreadsheetml.table+xml"/>
  <Override PartName="/xl/tables/table326.xml" ContentType="application/vnd.openxmlformats-officedocument.spreadsheetml.table+xml"/>
  <Override PartName="/xl/tables/table327.xml" ContentType="application/vnd.openxmlformats-officedocument.spreadsheetml.table+xml"/>
  <Override PartName="/xl/tables/table328.xml" ContentType="application/vnd.openxmlformats-officedocument.spreadsheetml.table+xml"/>
  <Override PartName="/xl/tables/table329.xml" ContentType="application/vnd.openxmlformats-officedocument.spreadsheetml.table+xml"/>
  <Override PartName="/xl/tables/table330.xml" ContentType="application/vnd.openxmlformats-officedocument.spreadsheetml.table+xml"/>
  <Override PartName="/xl/tables/table331.xml" ContentType="application/vnd.openxmlformats-officedocument.spreadsheetml.table+xml"/>
  <Override PartName="/xl/tables/table332.xml" ContentType="application/vnd.openxmlformats-officedocument.spreadsheetml.table+xml"/>
  <Override PartName="/xl/tables/table333.xml" ContentType="application/vnd.openxmlformats-officedocument.spreadsheetml.table+xml"/>
  <Override PartName="/xl/tables/table334.xml" ContentType="application/vnd.openxmlformats-officedocument.spreadsheetml.table+xml"/>
  <Override PartName="/xl/tables/table335.xml" ContentType="application/vnd.openxmlformats-officedocument.spreadsheetml.table+xml"/>
  <Override PartName="/xl/tables/table336.xml" ContentType="application/vnd.openxmlformats-officedocument.spreadsheetml.table+xml"/>
  <Override PartName="/xl/tables/table337.xml" ContentType="application/vnd.openxmlformats-officedocument.spreadsheetml.table+xml"/>
  <Override PartName="/xl/tables/table338.xml" ContentType="application/vnd.openxmlformats-officedocument.spreadsheetml.table+xml"/>
  <Override PartName="/xl/tables/table339.xml" ContentType="application/vnd.openxmlformats-officedocument.spreadsheetml.table+xml"/>
  <Override PartName="/xl/tables/table340.xml" ContentType="application/vnd.openxmlformats-officedocument.spreadsheetml.table+xml"/>
  <Override PartName="/xl/tables/table341.xml" ContentType="application/vnd.openxmlformats-officedocument.spreadsheetml.table+xml"/>
  <Override PartName="/xl/tables/table342.xml" ContentType="application/vnd.openxmlformats-officedocument.spreadsheetml.table+xml"/>
  <Override PartName="/xl/tables/table343.xml" ContentType="application/vnd.openxmlformats-officedocument.spreadsheetml.table+xml"/>
  <Override PartName="/xl/tables/table344.xml" ContentType="application/vnd.openxmlformats-officedocument.spreadsheetml.table+xml"/>
  <Override PartName="/xl/tables/table345.xml" ContentType="application/vnd.openxmlformats-officedocument.spreadsheetml.tab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2.xml" ContentType="application/vnd.openxmlformats-officedocument.drawing+xml"/>
  <Override PartName="/xl/tables/table346.xml" ContentType="application/vnd.openxmlformats-officedocument.spreadsheetml.table+xml"/>
  <Override PartName="/xl/tables/table347.xml" ContentType="application/vnd.openxmlformats-officedocument.spreadsheetml.table+xml"/>
  <Override PartName="/xl/tables/table348.xml" ContentType="application/vnd.openxmlformats-officedocument.spreadsheetml.table+xml"/>
  <Override PartName="/xl/tables/table349.xml" ContentType="application/vnd.openxmlformats-officedocument.spreadsheetml.table+xml"/>
  <Override PartName="/xl/tables/table350.xml" ContentType="application/vnd.openxmlformats-officedocument.spreadsheetml.table+xml"/>
  <Override PartName="/xl/tables/table351.xml" ContentType="application/vnd.openxmlformats-officedocument.spreadsheetml.table+xml"/>
  <Override PartName="/xl/tables/table352.xml" ContentType="application/vnd.openxmlformats-officedocument.spreadsheetml.table+xml"/>
  <Override PartName="/xl/tables/table353.xml" ContentType="application/vnd.openxmlformats-officedocument.spreadsheetml.table+xml"/>
  <Override PartName="/xl/tables/table354.xml" ContentType="application/vnd.openxmlformats-officedocument.spreadsheetml.table+xml"/>
  <Override PartName="/xl/tables/table355.xml" ContentType="application/vnd.openxmlformats-officedocument.spreadsheetml.table+xml"/>
  <Override PartName="/xl/tables/table356.xml" ContentType="application/vnd.openxmlformats-officedocument.spreadsheetml.table+xml"/>
  <Override PartName="/xl/tables/table357.xml" ContentType="application/vnd.openxmlformats-officedocument.spreadsheetml.table+xml"/>
  <Override PartName="/xl/tables/table358.xml" ContentType="application/vnd.openxmlformats-officedocument.spreadsheetml.table+xml"/>
  <Override PartName="/xl/tables/table359.xml" ContentType="application/vnd.openxmlformats-officedocument.spreadsheetml.table+xml"/>
  <Override PartName="/xl/tables/table360.xml" ContentType="application/vnd.openxmlformats-officedocument.spreadsheetml.table+xml"/>
  <Override PartName="/xl/tables/table361.xml" ContentType="application/vnd.openxmlformats-officedocument.spreadsheetml.table+xml"/>
  <Override PartName="/xl/tables/table362.xml" ContentType="application/vnd.openxmlformats-officedocument.spreadsheetml.table+xml"/>
  <Override PartName="/xl/tables/table363.xml" ContentType="application/vnd.openxmlformats-officedocument.spreadsheetml.table+xml"/>
  <Override PartName="/xl/tables/table364.xml" ContentType="application/vnd.openxmlformats-officedocument.spreadsheetml.table+xml"/>
  <Override PartName="/xl/tables/table365.xml" ContentType="application/vnd.openxmlformats-officedocument.spreadsheetml.table+xml"/>
  <Override PartName="/xl/tables/table366.xml" ContentType="application/vnd.openxmlformats-officedocument.spreadsheetml.table+xml"/>
  <Override PartName="/xl/tables/table367.xml" ContentType="application/vnd.openxmlformats-officedocument.spreadsheetml.table+xml"/>
  <Override PartName="/xl/tables/table368.xml" ContentType="application/vnd.openxmlformats-officedocument.spreadsheetml.table+xml"/>
  <Override PartName="/xl/tables/table369.xml" ContentType="application/vnd.openxmlformats-officedocument.spreadsheetml.table+xml"/>
  <Override PartName="/xl/tables/table370.xml" ContentType="application/vnd.openxmlformats-officedocument.spreadsheetml.table+xml"/>
  <Override PartName="/xl/tables/table371.xml" ContentType="application/vnd.openxmlformats-officedocument.spreadsheetml.table+xml"/>
  <Override PartName="/xl/tables/table372.xml" ContentType="application/vnd.openxmlformats-officedocument.spreadsheetml.table+xml"/>
  <Override PartName="/xl/tables/table373.xml" ContentType="application/vnd.openxmlformats-officedocument.spreadsheetml.table+xml"/>
  <Override PartName="/xl/tables/table374.xml" ContentType="application/vnd.openxmlformats-officedocument.spreadsheetml.table+xml"/>
  <Override PartName="/xl/tables/table375.xml" ContentType="application/vnd.openxmlformats-officedocument.spreadsheetml.table+xml"/>
  <Override PartName="/xl/tables/table376.xml" ContentType="application/vnd.openxmlformats-officedocument.spreadsheetml.table+xml"/>
  <Override PartName="/xl/tables/table377.xml" ContentType="application/vnd.openxmlformats-officedocument.spreadsheetml.tab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3.xml" ContentType="application/vnd.openxmlformats-officedocument.drawing+xml"/>
  <Override PartName="/xl/tables/table378.xml" ContentType="application/vnd.openxmlformats-officedocument.spreadsheetml.table+xml"/>
  <Override PartName="/xl/tables/table379.xml" ContentType="application/vnd.openxmlformats-officedocument.spreadsheetml.table+xml"/>
  <Override PartName="/xl/tables/table380.xml" ContentType="application/vnd.openxmlformats-officedocument.spreadsheetml.table+xml"/>
  <Override PartName="/xl/tables/table381.xml" ContentType="application/vnd.openxmlformats-officedocument.spreadsheetml.table+xml"/>
  <Override PartName="/xl/tables/table382.xml" ContentType="application/vnd.openxmlformats-officedocument.spreadsheetml.table+xml"/>
  <Override PartName="/xl/tables/table383.xml" ContentType="application/vnd.openxmlformats-officedocument.spreadsheetml.table+xml"/>
  <Override PartName="/xl/tables/table384.xml" ContentType="application/vnd.openxmlformats-officedocument.spreadsheetml.table+xml"/>
  <Override PartName="/xl/tables/table385.xml" ContentType="application/vnd.openxmlformats-officedocument.spreadsheetml.table+xml"/>
  <Override PartName="/xl/tables/table386.xml" ContentType="application/vnd.openxmlformats-officedocument.spreadsheetml.table+xml"/>
  <Override PartName="/xl/tables/table387.xml" ContentType="application/vnd.openxmlformats-officedocument.spreadsheetml.table+xml"/>
  <Override PartName="/xl/tables/table388.xml" ContentType="application/vnd.openxmlformats-officedocument.spreadsheetml.table+xml"/>
  <Override PartName="/xl/tables/table389.xml" ContentType="application/vnd.openxmlformats-officedocument.spreadsheetml.table+xml"/>
  <Override PartName="/xl/tables/table390.xml" ContentType="application/vnd.openxmlformats-officedocument.spreadsheetml.table+xml"/>
  <Override PartName="/xl/tables/table391.xml" ContentType="application/vnd.openxmlformats-officedocument.spreadsheetml.table+xml"/>
  <Override PartName="/xl/tables/table392.xml" ContentType="application/vnd.openxmlformats-officedocument.spreadsheetml.table+xml"/>
  <Override PartName="/xl/tables/table393.xml" ContentType="application/vnd.openxmlformats-officedocument.spreadsheetml.table+xml"/>
  <Override PartName="/xl/tables/table394.xml" ContentType="application/vnd.openxmlformats-officedocument.spreadsheetml.table+xml"/>
  <Override PartName="/xl/tables/table395.xml" ContentType="application/vnd.openxmlformats-officedocument.spreadsheetml.table+xml"/>
  <Override PartName="/xl/tables/table396.xml" ContentType="application/vnd.openxmlformats-officedocument.spreadsheetml.table+xml"/>
  <Override PartName="/xl/tables/table397.xml" ContentType="application/vnd.openxmlformats-officedocument.spreadsheetml.table+xml"/>
  <Override PartName="/xl/tables/table398.xml" ContentType="application/vnd.openxmlformats-officedocument.spreadsheetml.table+xml"/>
  <Override PartName="/xl/tables/table399.xml" ContentType="application/vnd.openxmlformats-officedocument.spreadsheetml.table+xml"/>
  <Override PartName="/xl/tables/table400.xml" ContentType="application/vnd.openxmlformats-officedocument.spreadsheetml.table+xml"/>
  <Override PartName="/xl/tables/table401.xml" ContentType="application/vnd.openxmlformats-officedocument.spreadsheetml.table+xml"/>
  <Override PartName="/xl/tables/table402.xml" ContentType="application/vnd.openxmlformats-officedocument.spreadsheetml.table+xml"/>
  <Override PartName="/xl/tables/table403.xml" ContentType="application/vnd.openxmlformats-officedocument.spreadsheetml.table+xml"/>
  <Override PartName="/xl/tables/table404.xml" ContentType="application/vnd.openxmlformats-officedocument.spreadsheetml.table+xml"/>
  <Override PartName="/xl/tables/table405.xml" ContentType="application/vnd.openxmlformats-officedocument.spreadsheetml.table+xml"/>
  <Override PartName="/xl/tables/table406.xml" ContentType="application/vnd.openxmlformats-officedocument.spreadsheetml.table+xml"/>
  <Override PartName="/xl/tables/table407.xml" ContentType="application/vnd.openxmlformats-officedocument.spreadsheetml.table+xml"/>
  <Override PartName="/xl/tables/table408.xml" ContentType="application/vnd.openxmlformats-officedocument.spreadsheetml.table+xml"/>
  <Override PartName="/xl/tables/table409.xml" ContentType="application/vnd.openxmlformats-officedocument.spreadsheetml.tab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4.xml" ContentType="application/vnd.openxmlformats-officedocument.drawing+xml"/>
  <Override PartName="/xl/tables/table410.xml" ContentType="application/vnd.openxmlformats-officedocument.spreadsheetml.table+xml"/>
  <Override PartName="/xl/tables/table411.xml" ContentType="application/vnd.openxmlformats-officedocument.spreadsheetml.table+xml"/>
  <Override PartName="/xl/tables/table412.xml" ContentType="application/vnd.openxmlformats-officedocument.spreadsheetml.table+xml"/>
  <Override PartName="/xl/tables/table413.xml" ContentType="application/vnd.openxmlformats-officedocument.spreadsheetml.table+xml"/>
  <Override PartName="/xl/tables/table414.xml" ContentType="application/vnd.openxmlformats-officedocument.spreadsheetml.table+xml"/>
  <Override PartName="/xl/tables/table415.xml" ContentType="application/vnd.openxmlformats-officedocument.spreadsheetml.table+xml"/>
  <Override PartName="/xl/tables/table416.xml" ContentType="application/vnd.openxmlformats-officedocument.spreadsheetml.table+xml"/>
  <Override PartName="/xl/tables/table417.xml" ContentType="application/vnd.openxmlformats-officedocument.spreadsheetml.table+xml"/>
  <Override PartName="/xl/tables/table418.xml" ContentType="application/vnd.openxmlformats-officedocument.spreadsheetml.table+xml"/>
  <Override PartName="/xl/tables/table419.xml" ContentType="application/vnd.openxmlformats-officedocument.spreadsheetml.table+xml"/>
  <Override PartName="/xl/tables/table420.xml" ContentType="application/vnd.openxmlformats-officedocument.spreadsheetml.table+xml"/>
  <Override PartName="/xl/tables/table421.xml" ContentType="application/vnd.openxmlformats-officedocument.spreadsheetml.table+xml"/>
  <Override PartName="/xl/tables/table422.xml" ContentType="application/vnd.openxmlformats-officedocument.spreadsheetml.table+xml"/>
  <Override PartName="/xl/tables/table423.xml" ContentType="application/vnd.openxmlformats-officedocument.spreadsheetml.table+xml"/>
  <Override PartName="/xl/tables/table424.xml" ContentType="application/vnd.openxmlformats-officedocument.spreadsheetml.table+xml"/>
  <Override PartName="/xl/tables/table425.xml" ContentType="application/vnd.openxmlformats-officedocument.spreadsheetml.table+xml"/>
  <Override PartName="/xl/tables/table426.xml" ContentType="application/vnd.openxmlformats-officedocument.spreadsheetml.table+xml"/>
  <Override PartName="/xl/tables/table427.xml" ContentType="application/vnd.openxmlformats-officedocument.spreadsheetml.table+xml"/>
  <Override PartName="/xl/tables/table428.xml" ContentType="application/vnd.openxmlformats-officedocument.spreadsheetml.table+xml"/>
  <Override PartName="/xl/tables/table429.xml" ContentType="application/vnd.openxmlformats-officedocument.spreadsheetml.table+xml"/>
  <Override PartName="/xl/tables/table430.xml" ContentType="application/vnd.openxmlformats-officedocument.spreadsheetml.table+xml"/>
  <Override PartName="/xl/tables/table431.xml" ContentType="application/vnd.openxmlformats-officedocument.spreadsheetml.table+xml"/>
  <Override PartName="/xl/tables/table432.xml" ContentType="application/vnd.openxmlformats-officedocument.spreadsheetml.table+xml"/>
  <Override PartName="/xl/tables/table433.xml" ContentType="application/vnd.openxmlformats-officedocument.spreadsheetml.table+xml"/>
  <Override PartName="/xl/tables/table434.xml" ContentType="application/vnd.openxmlformats-officedocument.spreadsheetml.table+xml"/>
  <Override PartName="/xl/tables/table435.xml" ContentType="application/vnd.openxmlformats-officedocument.spreadsheetml.table+xml"/>
  <Override PartName="/xl/tables/table436.xml" ContentType="application/vnd.openxmlformats-officedocument.spreadsheetml.table+xml"/>
  <Override PartName="/xl/tables/table437.xml" ContentType="application/vnd.openxmlformats-officedocument.spreadsheetml.table+xml"/>
  <Override PartName="/xl/tables/table438.xml" ContentType="application/vnd.openxmlformats-officedocument.spreadsheetml.table+xml"/>
  <Override PartName="/xl/tables/table439.xml" ContentType="application/vnd.openxmlformats-officedocument.spreadsheetml.table+xml"/>
  <Override PartName="/xl/tables/table440.xml" ContentType="application/vnd.openxmlformats-officedocument.spreadsheetml.table+xml"/>
  <Override PartName="/xl/tables/table441.xml" ContentType="application/vnd.openxmlformats-officedocument.spreadsheetml.tab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15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michal/Dropbox/! Inbox/2016-12-20 - Blog ART - Budżet domowy 2017/"/>
    </mc:Choice>
  </mc:AlternateContent>
  <bookViews>
    <workbookView xWindow="18300" yWindow="460" windowWidth="32900" windowHeight="28340" activeTab="1"/>
  </bookViews>
  <sheets>
    <sheet name="PRZYKŁAD" sheetId="1" r:id="rId1"/>
    <sheet name="Wzorzec kategorii" sheetId="20" r:id="rId2"/>
    <sheet name="CAŁY ROK 2017" sheetId="33" r:id="rId3"/>
    <sheet name="2017.01" sheetId="4" r:id="rId4"/>
    <sheet name="2017.02" sheetId="22" r:id="rId5"/>
    <sheet name="2017.03" sheetId="23" r:id="rId6"/>
    <sheet name="2017.04" sheetId="24" r:id="rId7"/>
    <sheet name="2017.05" sheetId="25" r:id="rId8"/>
    <sheet name="2017.06" sheetId="26" r:id="rId9"/>
    <sheet name="2017.07" sheetId="27" r:id="rId10"/>
    <sheet name="2017.08" sheetId="28" r:id="rId11"/>
    <sheet name="2017.09" sheetId="29" r:id="rId12"/>
    <sheet name="2017.10" sheetId="30" r:id="rId13"/>
    <sheet name="2017.11" sheetId="31" r:id="rId14"/>
    <sheet name="2017.12" sheetId="32" r:id="rId15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2" i="4" l="1"/>
  <c r="D242" i="22"/>
  <c r="D242" i="23"/>
  <c r="D242" i="24"/>
  <c r="D242" i="25"/>
  <c r="D242" i="26"/>
  <c r="D242" i="27"/>
  <c r="D242" i="28"/>
  <c r="D242" i="29"/>
  <c r="D242" i="30"/>
  <c r="D242" i="31"/>
  <c r="D242" i="32"/>
  <c r="D242" i="33"/>
  <c r="D243" i="4"/>
  <c r="D243" i="22"/>
  <c r="D243" i="23"/>
  <c r="D243" i="24"/>
  <c r="D243" i="25"/>
  <c r="D243" i="26"/>
  <c r="D243" i="27"/>
  <c r="D243" i="28"/>
  <c r="D243" i="29"/>
  <c r="D243" i="30"/>
  <c r="D243" i="31"/>
  <c r="D243" i="32"/>
  <c r="D243" i="33"/>
  <c r="D244" i="4"/>
  <c r="D244" i="22"/>
  <c r="D244" i="23"/>
  <c r="D244" i="24"/>
  <c r="D244" i="25"/>
  <c r="D244" i="26"/>
  <c r="D244" i="27"/>
  <c r="D244" i="28"/>
  <c r="D244" i="29"/>
  <c r="D244" i="30"/>
  <c r="D244" i="31"/>
  <c r="D244" i="32"/>
  <c r="D244" i="33"/>
  <c r="D245" i="4"/>
  <c r="D245" i="22"/>
  <c r="D245" i="23"/>
  <c r="D245" i="24"/>
  <c r="D245" i="25"/>
  <c r="D245" i="26"/>
  <c r="D245" i="27"/>
  <c r="D245" i="28"/>
  <c r="D245" i="29"/>
  <c r="D245" i="30"/>
  <c r="D245" i="31"/>
  <c r="D245" i="32"/>
  <c r="D245" i="33"/>
  <c r="D246" i="4"/>
  <c r="D246" i="22"/>
  <c r="D246" i="23"/>
  <c r="D246" i="24"/>
  <c r="D246" i="25"/>
  <c r="D246" i="26"/>
  <c r="D246" i="27"/>
  <c r="D246" i="28"/>
  <c r="D246" i="29"/>
  <c r="D246" i="30"/>
  <c r="D246" i="31"/>
  <c r="D246" i="32"/>
  <c r="D246" i="33"/>
  <c r="D247" i="4"/>
  <c r="D247" i="22"/>
  <c r="D247" i="23"/>
  <c r="D247" i="24"/>
  <c r="D247" i="25"/>
  <c r="D247" i="26"/>
  <c r="D247" i="27"/>
  <c r="D247" i="28"/>
  <c r="D247" i="29"/>
  <c r="D247" i="30"/>
  <c r="D247" i="31"/>
  <c r="D247" i="32"/>
  <c r="D247" i="33"/>
  <c r="D248" i="4"/>
  <c r="D248" i="22"/>
  <c r="D248" i="23"/>
  <c r="D248" i="24"/>
  <c r="D248" i="25"/>
  <c r="D248" i="26"/>
  <c r="D248" i="27"/>
  <c r="D248" i="28"/>
  <c r="D248" i="29"/>
  <c r="D248" i="30"/>
  <c r="D248" i="31"/>
  <c r="D248" i="32"/>
  <c r="D248" i="33"/>
  <c r="D249" i="4"/>
  <c r="D249" i="22"/>
  <c r="D249" i="23"/>
  <c r="D249" i="24"/>
  <c r="D249" i="25"/>
  <c r="D249" i="26"/>
  <c r="D249" i="27"/>
  <c r="D249" i="28"/>
  <c r="D249" i="29"/>
  <c r="D249" i="30"/>
  <c r="D249" i="31"/>
  <c r="D249" i="32"/>
  <c r="D249" i="33"/>
  <c r="D250" i="4"/>
  <c r="D250" i="22"/>
  <c r="D250" i="23"/>
  <c r="D250" i="24"/>
  <c r="D250" i="25"/>
  <c r="D250" i="26"/>
  <c r="D250" i="27"/>
  <c r="D250" i="28"/>
  <c r="D250" i="29"/>
  <c r="D250" i="30"/>
  <c r="D250" i="31"/>
  <c r="D250" i="32"/>
  <c r="D250" i="33"/>
  <c r="D251" i="4"/>
  <c r="D251" i="22"/>
  <c r="D251" i="23"/>
  <c r="D251" i="24"/>
  <c r="D251" i="25"/>
  <c r="D251" i="26"/>
  <c r="D251" i="27"/>
  <c r="D251" i="28"/>
  <c r="D251" i="29"/>
  <c r="D251" i="30"/>
  <c r="D251" i="31"/>
  <c r="D251" i="32"/>
  <c r="D251" i="33"/>
  <c r="C242" i="33"/>
  <c r="C243" i="33"/>
  <c r="C244" i="33"/>
  <c r="C245" i="33"/>
  <c r="C246" i="33"/>
  <c r="C247" i="33"/>
  <c r="C248" i="33"/>
  <c r="C249" i="33"/>
  <c r="C250" i="33"/>
  <c r="C251" i="33"/>
  <c r="D230" i="4"/>
  <c r="D230" i="22"/>
  <c r="D230" i="23"/>
  <c r="D230" i="24"/>
  <c r="D230" i="25"/>
  <c r="D230" i="26"/>
  <c r="D230" i="27"/>
  <c r="D230" i="28"/>
  <c r="D230" i="29"/>
  <c r="D230" i="30"/>
  <c r="D230" i="31"/>
  <c r="D230" i="32"/>
  <c r="D230" i="33"/>
  <c r="D231" i="4"/>
  <c r="D231" i="22"/>
  <c r="D231" i="23"/>
  <c r="D231" i="24"/>
  <c r="D231" i="25"/>
  <c r="D231" i="26"/>
  <c r="D231" i="27"/>
  <c r="D231" i="28"/>
  <c r="D231" i="29"/>
  <c r="D231" i="30"/>
  <c r="D231" i="31"/>
  <c r="D231" i="32"/>
  <c r="D231" i="33"/>
  <c r="D232" i="4"/>
  <c r="D232" i="22"/>
  <c r="D232" i="23"/>
  <c r="D232" i="24"/>
  <c r="D232" i="25"/>
  <c r="D232" i="26"/>
  <c r="D232" i="27"/>
  <c r="D232" i="28"/>
  <c r="D232" i="29"/>
  <c r="D232" i="30"/>
  <c r="D232" i="31"/>
  <c r="D232" i="32"/>
  <c r="D232" i="33"/>
  <c r="D233" i="4"/>
  <c r="D233" i="22"/>
  <c r="D233" i="23"/>
  <c r="D233" i="24"/>
  <c r="D233" i="25"/>
  <c r="D233" i="26"/>
  <c r="D233" i="27"/>
  <c r="D233" i="28"/>
  <c r="D233" i="29"/>
  <c r="D233" i="30"/>
  <c r="D233" i="31"/>
  <c r="D233" i="32"/>
  <c r="D233" i="33"/>
  <c r="D234" i="4"/>
  <c r="D234" i="22"/>
  <c r="D234" i="23"/>
  <c r="D234" i="24"/>
  <c r="D234" i="25"/>
  <c r="D234" i="26"/>
  <c r="D234" i="27"/>
  <c r="D234" i="28"/>
  <c r="D234" i="29"/>
  <c r="D234" i="30"/>
  <c r="D234" i="31"/>
  <c r="D234" i="32"/>
  <c r="D234" i="33"/>
  <c r="D235" i="4"/>
  <c r="D235" i="22"/>
  <c r="D235" i="23"/>
  <c r="D235" i="24"/>
  <c r="D235" i="25"/>
  <c r="D235" i="26"/>
  <c r="D235" i="27"/>
  <c r="D235" i="28"/>
  <c r="D235" i="29"/>
  <c r="D235" i="30"/>
  <c r="D235" i="31"/>
  <c r="D235" i="32"/>
  <c r="D235" i="33"/>
  <c r="D236" i="4"/>
  <c r="D236" i="22"/>
  <c r="D236" i="23"/>
  <c r="D236" i="24"/>
  <c r="D236" i="25"/>
  <c r="D236" i="26"/>
  <c r="D236" i="27"/>
  <c r="D236" i="28"/>
  <c r="D236" i="29"/>
  <c r="D236" i="30"/>
  <c r="D236" i="31"/>
  <c r="D236" i="32"/>
  <c r="D236" i="33"/>
  <c r="D237" i="4"/>
  <c r="D237" i="22"/>
  <c r="D237" i="23"/>
  <c r="D237" i="24"/>
  <c r="D237" i="25"/>
  <c r="D237" i="26"/>
  <c r="D237" i="27"/>
  <c r="D237" i="28"/>
  <c r="D237" i="29"/>
  <c r="D237" i="30"/>
  <c r="D237" i="31"/>
  <c r="D237" i="32"/>
  <c r="D237" i="33"/>
  <c r="D238" i="4"/>
  <c r="D238" i="22"/>
  <c r="D238" i="23"/>
  <c r="D238" i="24"/>
  <c r="D238" i="25"/>
  <c r="D238" i="26"/>
  <c r="D238" i="27"/>
  <c r="D238" i="28"/>
  <c r="D238" i="29"/>
  <c r="D238" i="30"/>
  <c r="D238" i="31"/>
  <c r="D238" i="32"/>
  <c r="D238" i="33"/>
  <c r="D239" i="4"/>
  <c r="D239" i="22"/>
  <c r="D239" i="23"/>
  <c r="D239" i="24"/>
  <c r="D239" i="25"/>
  <c r="D239" i="26"/>
  <c r="D239" i="27"/>
  <c r="D239" i="28"/>
  <c r="D239" i="29"/>
  <c r="D239" i="30"/>
  <c r="D239" i="31"/>
  <c r="D239" i="32"/>
  <c r="D239" i="33"/>
  <c r="C230" i="33"/>
  <c r="C231" i="33"/>
  <c r="C232" i="33"/>
  <c r="C233" i="33"/>
  <c r="C234" i="33"/>
  <c r="C235" i="33"/>
  <c r="C236" i="33"/>
  <c r="C237" i="33"/>
  <c r="C238" i="33"/>
  <c r="C239" i="33"/>
  <c r="D218" i="4"/>
  <c r="D218" i="22"/>
  <c r="D218" i="23"/>
  <c r="D218" i="24"/>
  <c r="D218" i="25"/>
  <c r="D218" i="26"/>
  <c r="D218" i="27"/>
  <c r="D218" i="28"/>
  <c r="D218" i="29"/>
  <c r="D218" i="30"/>
  <c r="D218" i="31"/>
  <c r="D218" i="32"/>
  <c r="D218" i="33"/>
  <c r="D219" i="4"/>
  <c r="D219" i="22"/>
  <c r="D219" i="23"/>
  <c r="D219" i="24"/>
  <c r="D219" i="25"/>
  <c r="D219" i="26"/>
  <c r="D219" i="27"/>
  <c r="D219" i="28"/>
  <c r="D219" i="29"/>
  <c r="D219" i="30"/>
  <c r="D219" i="31"/>
  <c r="D219" i="32"/>
  <c r="D219" i="33"/>
  <c r="D220" i="4"/>
  <c r="D220" i="22"/>
  <c r="D220" i="23"/>
  <c r="D220" i="24"/>
  <c r="D220" i="25"/>
  <c r="D220" i="26"/>
  <c r="D220" i="27"/>
  <c r="D220" i="28"/>
  <c r="D220" i="29"/>
  <c r="D220" i="30"/>
  <c r="D220" i="31"/>
  <c r="D220" i="32"/>
  <c r="D220" i="33"/>
  <c r="D221" i="4"/>
  <c r="D221" i="22"/>
  <c r="D221" i="23"/>
  <c r="D221" i="24"/>
  <c r="D221" i="25"/>
  <c r="D221" i="26"/>
  <c r="D221" i="27"/>
  <c r="D221" i="28"/>
  <c r="D221" i="29"/>
  <c r="D221" i="30"/>
  <c r="D221" i="31"/>
  <c r="D221" i="32"/>
  <c r="D221" i="33"/>
  <c r="D222" i="4"/>
  <c r="D222" i="22"/>
  <c r="D222" i="23"/>
  <c r="D222" i="24"/>
  <c r="D222" i="25"/>
  <c r="D222" i="26"/>
  <c r="D222" i="27"/>
  <c r="D222" i="28"/>
  <c r="D222" i="29"/>
  <c r="D222" i="30"/>
  <c r="D222" i="31"/>
  <c r="D222" i="32"/>
  <c r="D222" i="33"/>
  <c r="D223" i="4"/>
  <c r="D223" i="22"/>
  <c r="D223" i="23"/>
  <c r="D223" i="24"/>
  <c r="D223" i="25"/>
  <c r="D223" i="26"/>
  <c r="D223" i="27"/>
  <c r="D223" i="28"/>
  <c r="D223" i="29"/>
  <c r="D223" i="30"/>
  <c r="D223" i="31"/>
  <c r="D223" i="32"/>
  <c r="D223" i="33"/>
  <c r="D224" i="4"/>
  <c r="D224" i="22"/>
  <c r="D224" i="23"/>
  <c r="D224" i="24"/>
  <c r="D224" i="25"/>
  <c r="D224" i="26"/>
  <c r="D224" i="27"/>
  <c r="D224" i="28"/>
  <c r="D224" i="29"/>
  <c r="D224" i="30"/>
  <c r="D224" i="31"/>
  <c r="D224" i="32"/>
  <c r="D224" i="33"/>
  <c r="D225" i="4"/>
  <c r="D225" i="22"/>
  <c r="D225" i="23"/>
  <c r="D225" i="24"/>
  <c r="D225" i="25"/>
  <c r="D225" i="26"/>
  <c r="D225" i="27"/>
  <c r="D225" i="28"/>
  <c r="D225" i="29"/>
  <c r="D225" i="30"/>
  <c r="D225" i="31"/>
  <c r="D225" i="32"/>
  <c r="D225" i="33"/>
  <c r="D226" i="4"/>
  <c r="D226" i="22"/>
  <c r="D226" i="23"/>
  <c r="D226" i="24"/>
  <c r="D226" i="25"/>
  <c r="D226" i="26"/>
  <c r="D226" i="27"/>
  <c r="D226" i="28"/>
  <c r="D226" i="29"/>
  <c r="D226" i="30"/>
  <c r="D226" i="31"/>
  <c r="D226" i="32"/>
  <c r="D226" i="33"/>
  <c r="D227" i="4"/>
  <c r="D227" i="22"/>
  <c r="D227" i="23"/>
  <c r="D227" i="24"/>
  <c r="D227" i="25"/>
  <c r="D227" i="26"/>
  <c r="D227" i="27"/>
  <c r="D227" i="28"/>
  <c r="D227" i="29"/>
  <c r="D227" i="30"/>
  <c r="D227" i="31"/>
  <c r="D227" i="32"/>
  <c r="D227" i="33"/>
  <c r="C218" i="33"/>
  <c r="C219" i="33"/>
  <c r="C220" i="33"/>
  <c r="C221" i="33"/>
  <c r="C222" i="33"/>
  <c r="C223" i="33"/>
  <c r="C224" i="33"/>
  <c r="C225" i="33"/>
  <c r="C226" i="33"/>
  <c r="C227" i="33"/>
  <c r="D206" i="4"/>
  <c r="D206" i="22"/>
  <c r="D206" i="23"/>
  <c r="D206" i="24"/>
  <c r="D206" i="25"/>
  <c r="D206" i="26"/>
  <c r="D206" i="27"/>
  <c r="D206" i="28"/>
  <c r="D206" i="29"/>
  <c r="D206" i="30"/>
  <c r="D206" i="31"/>
  <c r="D206" i="32"/>
  <c r="D206" i="33"/>
  <c r="D207" i="4"/>
  <c r="D207" i="22"/>
  <c r="D207" i="23"/>
  <c r="D207" i="24"/>
  <c r="D207" i="25"/>
  <c r="D207" i="26"/>
  <c r="D207" i="27"/>
  <c r="D207" i="28"/>
  <c r="D207" i="29"/>
  <c r="D207" i="30"/>
  <c r="D207" i="31"/>
  <c r="D207" i="32"/>
  <c r="D207" i="33"/>
  <c r="D208" i="4"/>
  <c r="D208" i="22"/>
  <c r="D208" i="23"/>
  <c r="D208" i="24"/>
  <c r="D208" i="25"/>
  <c r="D208" i="26"/>
  <c r="D208" i="27"/>
  <c r="D208" i="28"/>
  <c r="D208" i="29"/>
  <c r="D208" i="30"/>
  <c r="D208" i="31"/>
  <c r="D208" i="32"/>
  <c r="D208" i="33"/>
  <c r="D209" i="4"/>
  <c r="D209" i="22"/>
  <c r="D209" i="23"/>
  <c r="D209" i="24"/>
  <c r="D209" i="25"/>
  <c r="D209" i="26"/>
  <c r="D209" i="27"/>
  <c r="D209" i="28"/>
  <c r="D209" i="29"/>
  <c r="D209" i="30"/>
  <c r="D209" i="31"/>
  <c r="D209" i="32"/>
  <c r="D209" i="33"/>
  <c r="D210" i="4"/>
  <c r="D210" i="22"/>
  <c r="D210" i="23"/>
  <c r="D210" i="24"/>
  <c r="D210" i="25"/>
  <c r="D210" i="26"/>
  <c r="D210" i="27"/>
  <c r="D210" i="28"/>
  <c r="D210" i="29"/>
  <c r="D210" i="30"/>
  <c r="D210" i="31"/>
  <c r="D210" i="32"/>
  <c r="D210" i="33"/>
  <c r="D211" i="4"/>
  <c r="D211" i="22"/>
  <c r="D211" i="23"/>
  <c r="D211" i="24"/>
  <c r="D211" i="25"/>
  <c r="D211" i="26"/>
  <c r="D211" i="27"/>
  <c r="D211" i="28"/>
  <c r="D211" i="29"/>
  <c r="D211" i="30"/>
  <c r="D211" i="31"/>
  <c r="D211" i="32"/>
  <c r="D211" i="33"/>
  <c r="D212" i="4"/>
  <c r="D212" i="22"/>
  <c r="D212" i="23"/>
  <c r="D212" i="24"/>
  <c r="D212" i="25"/>
  <c r="D212" i="26"/>
  <c r="D212" i="27"/>
  <c r="D212" i="28"/>
  <c r="D212" i="29"/>
  <c r="D212" i="30"/>
  <c r="D212" i="31"/>
  <c r="D212" i="32"/>
  <c r="D212" i="33"/>
  <c r="D213" i="4"/>
  <c r="D213" i="22"/>
  <c r="D213" i="23"/>
  <c r="D213" i="24"/>
  <c r="D213" i="25"/>
  <c r="D213" i="26"/>
  <c r="D213" i="27"/>
  <c r="D213" i="28"/>
  <c r="D213" i="29"/>
  <c r="D213" i="30"/>
  <c r="D213" i="31"/>
  <c r="D213" i="32"/>
  <c r="D213" i="33"/>
  <c r="D214" i="4"/>
  <c r="D214" i="22"/>
  <c r="D214" i="23"/>
  <c r="D214" i="24"/>
  <c r="D214" i="25"/>
  <c r="D214" i="26"/>
  <c r="D214" i="27"/>
  <c r="D214" i="28"/>
  <c r="D214" i="29"/>
  <c r="D214" i="30"/>
  <c r="D214" i="31"/>
  <c r="D214" i="32"/>
  <c r="D214" i="33"/>
  <c r="D215" i="4"/>
  <c r="D215" i="22"/>
  <c r="D215" i="23"/>
  <c r="D215" i="24"/>
  <c r="D215" i="25"/>
  <c r="D215" i="26"/>
  <c r="D215" i="27"/>
  <c r="D215" i="28"/>
  <c r="D215" i="29"/>
  <c r="D215" i="30"/>
  <c r="D215" i="31"/>
  <c r="D215" i="32"/>
  <c r="D215" i="33"/>
  <c r="C206" i="33"/>
  <c r="C207" i="33"/>
  <c r="C208" i="33"/>
  <c r="C209" i="33"/>
  <c r="C210" i="33"/>
  <c r="C211" i="33"/>
  <c r="C212" i="33"/>
  <c r="C213" i="33"/>
  <c r="C214" i="33"/>
  <c r="C215" i="33"/>
  <c r="D194" i="4"/>
  <c r="D194" i="22"/>
  <c r="D194" i="23"/>
  <c r="D194" i="24"/>
  <c r="D194" i="25"/>
  <c r="D194" i="26"/>
  <c r="D194" i="27"/>
  <c r="D194" i="28"/>
  <c r="D194" i="29"/>
  <c r="D194" i="30"/>
  <c r="D194" i="31"/>
  <c r="D194" i="32"/>
  <c r="D194" i="33"/>
  <c r="D195" i="4"/>
  <c r="D195" i="22"/>
  <c r="D195" i="23"/>
  <c r="D195" i="24"/>
  <c r="D195" i="25"/>
  <c r="D195" i="26"/>
  <c r="D195" i="27"/>
  <c r="D195" i="28"/>
  <c r="D195" i="29"/>
  <c r="D195" i="30"/>
  <c r="D195" i="31"/>
  <c r="D195" i="32"/>
  <c r="D195" i="33"/>
  <c r="D196" i="4"/>
  <c r="D196" i="22"/>
  <c r="D196" i="23"/>
  <c r="D196" i="24"/>
  <c r="D196" i="25"/>
  <c r="D196" i="26"/>
  <c r="D196" i="27"/>
  <c r="D196" i="28"/>
  <c r="D196" i="29"/>
  <c r="D196" i="30"/>
  <c r="D196" i="31"/>
  <c r="D196" i="32"/>
  <c r="D196" i="33"/>
  <c r="D197" i="4"/>
  <c r="D197" i="22"/>
  <c r="D197" i="23"/>
  <c r="D197" i="24"/>
  <c r="D197" i="25"/>
  <c r="D197" i="26"/>
  <c r="D197" i="27"/>
  <c r="D197" i="28"/>
  <c r="D197" i="29"/>
  <c r="D197" i="30"/>
  <c r="D197" i="31"/>
  <c r="D197" i="32"/>
  <c r="D197" i="33"/>
  <c r="D198" i="4"/>
  <c r="D198" i="22"/>
  <c r="D198" i="23"/>
  <c r="D198" i="24"/>
  <c r="D198" i="25"/>
  <c r="D198" i="26"/>
  <c r="D198" i="27"/>
  <c r="D198" i="28"/>
  <c r="D198" i="29"/>
  <c r="D198" i="30"/>
  <c r="D198" i="31"/>
  <c r="D198" i="32"/>
  <c r="D198" i="33"/>
  <c r="D199" i="4"/>
  <c r="D199" i="22"/>
  <c r="D199" i="23"/>
  <c r="D199" i="24"/>
  <c r="D199" i="25"/>
  <c r="D199" i="26"/>
  <c r="D199" i="27"/>
  <c r="D199" i="28"/>
  <c r="D199" i="29"/>
  <c r="D199" i="30"/>
  <c r="D199" i="31"/>
  <c r="D199" i="32"/>
  <c r="D199" i="33"/>
  <c r="D200" i="4"/>
  <c r="D200" i="22"/>
  <c r="D200" i="23"/>
  <c r="D200" i="24"/>
  <c r="D200" i="25"/>
  <c r="D200" i="26"/>
  <c r="D200" i="27"/>
  <c r="D200" i="28"/>
  <c r="D200" i="29"/>
  <c r="D200" i="30"/>
  <c r="D200" i="31"/>
  <c r="D200" i="32"/>
  <c r="D200" i="33"/>
  <c r="D201" i="4"/>
  <c r="D201" i="22"/>
  <c r="D201" i="23"/>
  <c r="D201" i="24"/>
  <c r="D201" i="25"/>
  <c r="D201" i="26"/>
  <c r="D201" i="27"/>
  <c r="D201" i="28"/>
  <c r="D201" i="29"/>
  <c r="D201" i="30"/>
  <c r="D201" i="31"/>
  <c r="D201" i="32"/>
  <c r="D201" i="33"/>
  <c r="D202" i="4"/>
  <c r="D202" i="22"/>
  <c r="D202" i="23"/>
  <c r="D202" i="24"/>
  <c r="D202" i="25"/>
  <c r="D202" i="26"/>
  <c r="D202" i="27"/>
  <c r="D202" i="28"/>
  <c r="D202" i="29"/>
  <c r="D202" i="30"/>
  <c r="D202" i="31"/>
  <c r="D202" i="32"/>
  <c r="D202" i="33"/>
  <c r="D203" i="4"/>
  <c r="D203" i="22"/>
  <c r="D203" i="23"/>
  <c r="D203" i="24"/>
  <c r="D203" i="25"/>
  <c r="D203" i="26"/>
  <c r="D203" i="27"/>
  <c r="D203" i="28"/>
  <c r="D203" i="29"/>
  <c r="D203" i="30"/>
  <c r="D203" i="31"/>
  <c r="D203" i="32"/>
  <c r="D203" i="33"/>
  <c r="C194" i="33"/>
  <c r="C195" i="33"/>
  <c r="C196" i="33"/>
  <c r="C197" i="33"/>
  <c r="C198" i="33"/>
  <c r="C199" i="33"/>
  <c r="C200" i="33"/>
  <c r="C201" i="33"/>
  <c r="C202" i="33"/>
  <c r="C203" i="33"/>
  <c r="D182" i="4"/>
  <c r="D182" i="22"/>
  <c r="D182" i="23"/>
  <c r="D182" i="24"/>
  <c r="D182" i="25"/>
  <c r="D182" i="26"/>
  <c r="D182" i="27"/>
  <c r="D182" i="28"/>
  <c r="D182" i="29"/>
  <c r="D182" i="30"/>
  <c r="D182" i="31"/>
  <c r="D182" i="32"/>
  <c r="D182" i="33"/>
  <c r="D183" i="4"/>
  <c r="D183" i="22"/>
  <c r="D183" i="23"/>
  <c r="D183" i="24"/>
  <c r="D183" i="25"/>
  <c r="D183" i="26"/>
  <c r="D183" i="27"/>
  <c r="D183" i="28"/>
  <c r="D183" i="29"/>
  <c r="D183" i="30"/>
  <c r="D183" i="31"/>
  <c r="D183" i="32"/>
  <c r="D183" i="33"/>
  <c r="D184" i="4"/>
  <c r="D184" i="22"/>
  <c r="D184" i="23"/>
  <c r="D184" i="24"/>
  <c r="D184" i="25"/>
  <c r="D184" i="26"/>
  <c r="D184" i="27"/>
  <c r="D184" i="28"/>
  <c r="D184" i="29"/>
  <c r="D184" i="30"/>
  <c r="D184" i="31"/>
  <c r="D184" i="32"/>
  <c r="D184" i="33"/>
  <c r="D185" i="4"/>
  <c r="D185" i="22"/>
  <c r="D185" i="23"/>
  <c r="D185" i="24"/>
  <c r="D185" i="25"/>
  <c r="D185" i="26"/>
  <c r="D185" i="27"/>
  <c r="D185" i="28"/>
  <c r="D185" i="29"/>
  <c r="D185" i="30"/>
  <c r="D185" i="31"/>
  <c r="D185" i="32"/>
  <c r="D185" i="33"/>
  <c r="D186" i="4"/>
  <c r="D186" i="22"/>
  <c r="D186" i="23"/>
  <c r="D186" i="24"/>
  <c r="D186" i="25"/>
  <c r="D186" i="26"/>
  <c r="D186" i="27"/>
  <c r="D186" i="28"/>
  <c r="D186" i="29"/>
  <c r="D186" i="30"/>
  <c r="D186" i="31"/>
  <c r="D186" i="32"/>
  <c r="D186" i="33"/>
  <c r="D187" i="4"/>
  <c r="D187" i="22"/>
  <c r="D187" i="23"/>
  <c r="D187" i="24"/>
  <c r="D187" i="25"/>
  <c r="D187" i="26"/>
  <c r="D187" i="27"/>
  <c r="D187" i="28"/>
  <c r="D187" i="29"/>
  <c r="D187" i="30"/>
  <c r="D187" i="31"/>
  <c r="D187" i="32"/>
  <c r="D187" i="33"/>
  <c r="D188" i="4"/>
  <c r="D188" i="22"/>
  <c r="D188" i="23"/>
  <c r="D188" i="24"/>
  <c r="D188" i="25"/>
  <c r="D188" i="26"/>
  <c r="D188" i="27"/>
  <c r="D188" i="28"/>
  <c r="D188" i="29"/>
  <c r="D188" i="30"/>
  <c r="D188" i="31"/>
  <c r="D188" i="32"/>
  <c r="D188" i="33"/>
  <c r="D189" i="4"/>
  <c r="D189" i="22"/>
  <c r="D189" i="23"/>
  <c r="D189" i="24"/>
  <c r="D189" i="25"/>
  <c r="D189" i="26"/>
  <c r="D189" i="27"/>
  <c r="D189" i="28"/>
  <c r="D189" i="29"/>
  <c r="D189" i="30"/>
  <c r="D189" i="31"/>
  <c r="D189" i="32"/>
  <c r="D189" i="33"/>
  <c r="D190" i="4"/>
  <c r="D190" i="22"/>
  <c r="D190" i="23"/>
  <c r="D190" i="24"/>
  <c r="D190" i="25"/>
  <c r="D190" i="26"/>
  <c r="D190" i="27"/>
  <c r="D190" i="28"/>
  <c r="D190" i="29"/>
  <c r="D190" i="30"/>
  <c r="D190" i="31"/>
  <c r="D190" i="32"/>
  <c r="D190" i="33"/>
  <c r="D191" i="4"/>
  <c r="D191" i="22"/>
  <c r="D191" i="23"/>
  <c r="D191" i="24"/>
  <c r="D191" i="25"/>
  <c r="D191" i="26"/>
  <c r="D191" i="27"/>
  <c r="D191" i="28"/>
  <c r="D191" i="29"/>
  <c r="D191" i="30"/>
  <c r="D191" i="31"/>
  <c r="D191" i="32"/>
  <c r="D191" i="33"/>
  <c r="C182" i="33"/>
  <c r="C183" i="33"/>
  <c r="C184" i="33"/>
  <c r="C185" i="33"/>
  <c r="C186" i="33"/>
  <c r="C187" i="33"/>
  <c r="C188" i="33"/>
  <c r="C189" i="33"/>
  <c r="C190" i="33"/>
  <c r="C191" i="33"/>
  <c r="D170" i="4"/>
  <c r="D170" i="22"/>
  <c r="D170" i="23"/>
  <c r="D170" i="24"/>
  <c r="D170" i="25"/>
  <c r="D170" i="26"/>
  <c r="D170" i="27"/>
  <c r="D170" i="28"/>
  <c r="D170" i="29"/>
  <c r="D170" i="30"/>
  <c r="D170" i="31"/>
  <c r="D170" i="32"/>
  <c r="D170" i="33"/>
  <c r="D171" i="4"/>
  <c r="D171" i="22"/>
  <c r="D171" i="23"/>
  <c r="D171" i="24"/>
  <c r="D171" i="25"/>
  <c r="D171" i="26"/>
  <c r="D171" i="27"/>
  <c r="D171" i="28"/>
  <c r="D171" i="29"/>
  <c r="D171" i="30"/>
  <c r="D171" i="31"/>
  <c r="D171" i="32"/>
  <c r="D171" i="33"/>
  <c r="D172" i="4"/>
  <c r="D172" i="22"/>
  <c r="D172" i="23"/>
  <c r="D172" i="24"/>
  <c r="D172" i="25"/>
  <c r="D172" i="26"/>
  <c r="D172" i="27"/>
  <c r="D172" i="28"/>
  <c r="D172" i="29"/>
  <c r="D172" i="30"/>
  <c r="D172" i="31"/>
  <c r="D172" i="32"/>
  <c r="D172" i="33"/>
  <c r="D173" i="4"/>
  <c r="D173" i="22"/>
  <c r="D173" i="23"/>
  <c r="D173" i="24"/>
  <c r="D173" i="25"/>
  <c r="D173" i="26"/>
  <c r="D173" i="27"/>
  <c r="D173" i="28"/>
  <c r="D173" i="29"/>
  <c r="D173" i="30"/>
  <c r="D173" i="31"/>
  <c r="D173" i="32"/>
  <c r="D173" i="33"/>
  <c r="D174" i="4"/>
  <c r="D174" i="22"/>
  <c r="D174" i="23"/>
  <c r="D174" i="24"/>
  <c r="D174" i="25"/>
  <c r="D174" i="26"/>
  <c r="D174" i="27"/>
  <c r="D174" i="28"/>
  <c r="D174" i="29"/>
  <c r="D174" i="30"/>
  <c r="D174" i="31"/>
  <c r="D174" i="32"/>
  <c r="D174" i="33"/>
  <c r="D175" i="4"/>
  <c r="D175" i="22"/>
  <c r="D175" i="23"/>
  <c r="D175" i="24"/>
  <c r="D175" i="25"/>
  <c r="D175" i="26"/>
  <c r="D175" i="27"/>
  <c r="D175" i="28"/>
  <c r="D175" i="29"/>
  <c r="D175" i="30"/>
  <c r="D175" i="31"/>
  <c r="D175" i="32"/>
  <c r="D175" i="33"/>
  <c r="D176" i="4"/>
  <c r="D176" i="22"/>
  <c r="D176" i="23"/>
  <c r="D176" i="24"/>
  <c r="D176" i="25"/>
  <c r="D176" i="26"/>
  <c r="D176" i="27"/>
  <c r="D176" i="28"/>
  <c r="D176" i="29"/>
  <c r="D176" i="30"/>
  <c r="D176" i="31"/>
  <c r="D176" i="32"/>
  <c r="D176" i="33"/>
  <c r="D177" i="4"/>
  <c r="D177" i="22"/>
  <c r="D177" i="23"/>
  <c r="D177" i="24"/>
  <c r="D177" i="25"/>
  <c r="D177" i="26"/>
  <c r="D177" i="27"/>
  <c r="D177" i="28"/>
  <c r="D177" i="29"/>
  <c r="D177" i="30"/>
  <c r="D177" i="31"/>
  <c r="D177" i="32"/>
  <c r="D177" i="33"/>
  <c r="D178" i="4"/>
  <c r="D178" i="22"/>
  <c r="D178" i="23"/>
  <c r="D178" i="24"/>
  <c r="D178" i="25"/>
  <c r="D178" i="26"/>
  <c r="D178" i="27"/>
  <c r="D178" i="28"/>
  <c r="D178" i="29"/>
  <c r="D178" i="30"/>
  <c r="D178" i="31"/>
  <c r="D178" i="32"/>
  <c r="D178" i="33"/>
  <c r="D179" i="4"/>
  <c r="D179" i="22"/>
  <c r="D179" i="23"/>
  <c r="D179" i="24"/>
  <c r="D179" i="25"/>
  <c r="D179" i="26"/>
  <c r="D179" i="27"/>
  <c r="D179" i="28"/>
  <c r="D179" i="29"/>
  <c r="D179" i="30"/>
  <c r="D179" i="31"/>
  <c r="D179" i="32"/>
  <c r="D179" i="33"/>
  <c r="C170" i="33"/>
  <c r="C171" i="33"/>
  <c r="C172" i="33"/>
  <c r="C173" i="33"/>
  <c r="C174" i="33"/>
  <c r="C175" i="33"/>
  <c r="C176" i="33"/>
  <c r="C177" i="33"/>
  <c r="C178" i="33"/>
  <c r="C179" i="33"/>
  <c r="D158" i="4"/>
  <c r="D158" i="22"/>
  <c r="D158" i="23"/>
  <c r="D158" i="24"/>
  <c r="D158" i="25"/>
  <c r="D158" i="26"/>
  <c r="D158" i="27"/>
  <c r="D158" i="28"/>
  <c r="D158" i="29"/>
  <c r="D158" i="30"/>
  <c r="D158" i="31"/>
  <c r="D158" i="32"/>
  <c r="D158" i="33"/>
  <c r="D159" i="4"/>
  <c r="D159" i="22"/>
  <c r="D159" i="23"/>
  <c r="D159" i="24"/>
  <c r="D159" i="25"/>
  <c r="D159" i="26"/>
  <c r="D159" i="27"/>
  <c r="D159" i="28"/>
  <c r="D159" i="29"/>
  <c r="D159" i="30"/>
  <c r="D159" i="31"/>
  <c r="D159" i="32"/>
  <c r="D159" i="33"/>
  <c r="D160" i="4"/>
  <c r="D160" i="22"/>
  <c r="D160" i="23"/>
  <c r="D160" i="24"/>
  <c r="D160" i="25"/>
  <c r="D160" i="26"/>
  <c r="D160" i="27"/>
  <c r="D160" i="28"/>
  <c r="D160" i="29"/>
  <c r="D160" i="30"/>
  <c r="D160" i="31"/>
  <c r="D160" i="32"/>
  <c r="D160" i="33"/>
  <c r="D161" i="4"/>
  <c r="D161" i="22"/>
  <c r="D161" i="23"/>
  <c r="D161" i="24"/>
  <c r="D161" i="25"/>
  <c r="D161" i="26"/>
  <c r="D161" i="27"/>
  <c r="D161" i="28"/>
  <c r="D161" i="29"/>
  <c r="D161" i="30"/>
  <c r="D161" i="31"/>
  <c r="D161" i="32"/>
  <c r="D161" i="33"/>
  <c r="D162" i="4"/>
  <c r="D162" i="22"/>
  <c r="D162" i="23"/>
  <c r="D162" i="24"/>
  <c r="D162" i="25"/>
  <c r="D162" i="26"/>
  <c r="D162" i="27"/>
  <c r="D162" i="28"/>
  <c r="D162" i="29"/>
  <c r="D162" i="30"/>
  <c r="D162" i="31"/>
  <c r="D162" i="32"/>
  <c r="D162" i="33"/>
  <c r="D163" i="4"/>
  <c r="D163" i="22"/>
  <c r="D163" i="23"/>
  <c r="D163" i="24"/>
  <c r="D163" i="25"/>
  <c r="D163" i="26"/>
  <c r="D163" i="27"/>
  <c r="D163" i="28"/>
  <c r="D163" i="29"/>
  <c r="D163" i="30"/>
  <c r="D163" i="31"/>
  <c r="D163" i="32"/>
  <c r="D163" i="33"/>
  <c r="D164" i="4"/>
  <c r="D164" i="22"/>
  <c r="D164" i="23"/>
  <c r="D164" i="24"/>
  <c r="D164" i="25"/>
  <c r="D164" i="26"/>
  <c r="D164" i="27"/>
  <c r="D164" i="28"/>
  <c r="D164" i="29"/>
  <c r="D164" i="30"/>
  <c r="D164" i="31"/>
  <c r="D164" i="32"/>
  <c r="D164" i="33"/>
  <c r="D165" i="4"/>
  <c r="D165" i="22"/>
  <c r="D165" i="23"/>
  <c r="D165" i="24"/>
  <c r="D165" i="25"/>
  <c r="D165" i="26"/>
  <c r="D165" i="27"/>
  <c r="D165" i="28"/>
  <c r="D165" i="29"/>
  <c r="D165" i="30"/>
  <c r="D165" i="31"/>
  <c r="D165" i="32"/>
  <c r="D165" i="33"/>
  <c r="D166" i="4"/>
  <c r="D166" i="22"/>
  <c r="D166" i="23"/>
  <c r="D166" i="24"/>
  <c r="D166" i="25"/>
  <c r="D166" i="26"/>
  <c r="D166" i="27"/>
  <c r="D166" i="28"/>
  <c r="D166" i="29"/>
  <c r="D166" i="30"/>
  <c r="D166" i="31"/>
  <c r="D166" i="32"/>
  <c r="D166" i="33"/>
  <c r="D167" i="4"/>
  <c r="D167" i="22"/>
  <c r="D167" i="23"/>
  <c r="D167" i="24"/>
  <c r="D167" i="25"/>
  <c r="D167" i="26"/>
  <c r="D167" i="27"/>
  <c r="D167" i="28"/>
  <c r="D167" i="29"/>
  <c r="D167" i="30"/>
  <c r="D167" i="31"/>
  <c r="D167" i="32"/>
  <c r="D167" i="33"/>
  <c r="C158" i="33"/>
  <c r="C159" i="33"/>
  <c r="C160" i="33"/>
  <c r="C161" i="33"/>
  <c r="C162" i="33"/>
  <c r="C163" i="33"/>
  <c r="C164" i="33"/>
  <c r="C165" i="33"/>
  <c r="C166" i="33"/>
  <c r="C167" i="33"/>
  <c r="D146" i="4"/>
  <c r="D146" i="22"/>
  <c r="D146" i="23"/>
  <c r="D146" i="24"/>
  <c r="D146" i="25"/>
  <c r="D146" i="26"/>
  <c r="D146" i="27"/>
  <c r="D146" i="28"/>
  <c r="D146" i="29"/>
  <c r="D146" i="30"/>
  <c r="D146" i="31"/>
  <c r="D146" i="32"/>
  <c r="D146" i="33"/>
  <c r="D147" i="4"/>
  <c r="D147" i="22"/>
  <c r="D147" i="23"/>
  <c r="D147" i="24"/>
  <c r="D147" i="25"/>
  <c r="D147" i="26"/>
  <c r="D147" i="27"/>
  <c r="D147" i="28"/>
  <c r="D147" i="29"/>
  <c r="D147" i="30"/>
  <c r="D147" i="31"/>
  <c r="D147" i="32"/>
  <c r="D147" i="33"/>
  <c r="D148" i="4"/>
  <c r="D148" i="22"/>
  <c r="D148" i="23"/>
  <c r="D148" i="24"/>
  <c r="D148" i="25"/>
  <c r="D148" i="26"/>
  <c r="D148" i="27"/>
  <c r="D148" i="28"/>
  <c r="D148" i="29"/>
  <c r="D148" i="30"/>
  <c r="D148" i="31"/>
  <c r="D148" i="32"/>
  <c r="D148" i="33"/>
  <c r="D149" i="4"/>
  <c r="D149" i="22"/>
  <c r="D149" i="23"/>
  <c r="D149" i="24"/>
  <c r="D149" i="25"/>
  <c r="D149" i="26"/>
  <c r="D149" i="27"/>
  <c r="D149" i="28"/>
  <c r="D149" i="29"/>
  <c r="D149" i="30"/>
  <c r="D149" i="31"/>
  <c r="D149" i="32"/>
  <c r="D149" i="33"/>
  <c r="D150" i="4"/>
  <c r="D150" i="22"/>
  <c r="D150" i="23"/>
  <c r="D150" i="24"/>
  <c r="D150" i="25"/>
  <c r="D150" i="26"/>
  <c r="D150" i="27"/>
  <c r="D150" i="28"/>
  <c r="D150" i="29"/>
  <c r="D150" i="30"/>
  <c r="D150" i="31"/>
  <c r="D150" i="32"/>
  <c r="D150" i="33"/>
  <c r="D151" i="4"/>
  <c r="D151" i="22"/>
  <c r="D151" i="23"/>
  <c r="D151" i="24"/>
  <c r="D151" i="25"/>
  <c r="D151" i="26"/>
  <c r="D151" i="27"/>
  <c r="D151" i="28"/>
  <c r="D151" i="29"/>
  <c r="D151" i="30"/>
  <c r="D151" i="31"/>
  <c r="D151" i="32"/>
  <c r="D151" i="33"/>
  <c r="D152" i="4"/>
  <c r="D152" i="22"/>
  <c r="D152" i="23"/>
  <c r="D152" i="24"/>
  <c r="D152" i="25"/>
  <c r="D152" i="26"/>
  <c r="D152" i="27"/>
  <c r="D152" i="28"/>
  <c r="D152" i="29"/>
  <c r="D152" i="30"/>
  <c r="D152" i="31"/>
  <c r="D152" i="32"/>
  <c r="D152" i="33"/>
  <c r="D153" i="4"/>
  <c r="D153" i="22"/>
  <c r="D153" i="23"/>
  <c r="D153" i="24"/>
  <c r="D153" i="25"/>
  <c r="D153" i="26"/>
  <c r="D153" i="27"/>
  <c r="D153" i="28"/>
  <c r="D153" i="29"/>
  <c r="D153" i="30"/>
  <c r="D153" i="31"/>
  <c r="D153" i="32"/>
  <c r="D153" i="33"/>
  <c r="D154" i="4"/>
  <c r="D154" i="22"/>
  <c r="D154" i="23"/>
  <c r="D154" i="24"/>
  <c r="D154" i="25"/>
  <c r="D154" i="26"/>
  <c r="D154" i="27"/>
  <c r="D154" i="28"/>
  <c r="D154" i="29"/>
  <c r="D154" i="30"/>
  <c r="D154" i="31"/>
  <c r="D154" i="32"/>
  <c r="D154" i="33"/>
  <c r="D155" i="4"/>
  <c r="D155" i="22"/>
  <c r="D155" i="23"/>
  <c r="D155" i="24"/>
  <c r="D155" i="25"/>
  <c r="D155" i="26"/>
  <c r="D155" i="27"/>
  <c r="D155" i="28"/>
  <c r="D155" i="29"/>
  <c r="D155" i="30"/>
  <c r="D155" i="31"/>
  <c r="D155" i="32"/>
  <c r="D155" i="33"/>
  <c r="C146" i="33"/>
  <c r="C147" i="33"/>
  <c r="C148" i="33"/>
  <c r="C149" i="33"/>
  <c r="C150" i="33"/>
  <c r="C151" i="33"/>
  <c r="C152" i="33"/>
  <c r="C153" i="33"/>
  <c r="C154" i="33"/>
  <c r="C155" i="33"/>
  <c r="D134" i="4"/>
  <c r="D134" i="22"/>
  <c r="D134" i="23"/>
  <c r="D134" i="24"/>
  <c r="D134" i="25"/>
  <c r="D134" i="26"/>
  <c r="D134" i="27"/>
  <c r="D134" i="28"/>
  <c r="D134" i="29"/>
  <c r="D134" i="30"/>
  <c r="D134" i="31"/>
  <c r="D134" i="32"/>
  <c r="D134" i="33"/>
  <c r="D135" i="4"/>
  <c r="D135" i="22"/>
  <c r="D135" i="23"/>
  <c r="D135" i="24"/>
  <c r="D135" i="25"/>
  <c r="D135" i="26"/>
  <c r="D135" i="27"/>
  <c r="D135" i="28"/>
  <c r="D135" i="29"/>
  <c r="D135" i="30"/>
  <c r="D135" i="31"/>
  <c r="D135" i="32"/>
  <c r="D135" i="33"/>
  <c r="D136" i="4"/>
  <c r="D136" i="22"/>
  <c r="D136" i="23"/>
  <c r="D136" i="24"/>
  <c r="D136" i="25"/>
  <c r="D136" i="26"/>
  <c r="D136" i="27"/>
  <c r="D136" i="28"/>
  <c r="D136" i="29"/>
  <c r="D136" i="30"/>
  <c r="D136" i="31"/>
  <c r="D136" i="32"/>
  <c r="D136" i="33"/>
  <c r="D137" i="4"/>
  <c r="D137" i="22"/>
  <c r="D137" i="23"/>
  <c r="D137" i="24"/>
  <c r="D137" i="25"/>
  <c r="D137" i="26"/>
  <c r="D137" i="27"/>
  <c r="D137" i="28"/>
  <c r="D137" i="29"/>
  <c r="D137" i="30"/>
  <c r="D137" i="31"/>
  <c r="D137" i="32"/>
  <c r="D137" i="33"/>
  <c r="D138" i="4"/>
  <c r="D138" i="22"/>
  <c r="D138" i="23"/>
  <c r="D138" i="24"/>
  <c r="D138" i="25"/>
  <c r="D138" i="26"/>
  <c r="D138" i="27"/>
  <c r="D138" i="28"/>
  <c r="D138" i="29"/>
  <c r="D138" i="30"/>
  <c r="D138" i="31"/>
  <c r="D138" i="32"/>
  <c r="D138" i="33"/>
  <c r="D139" i="4"/>
  <c r="D139" i="22"/>
  <c r="D139" i="23"/>
  <c r="D139" i="24"/>
  <c r="D139" i="25"/>
  <c r="D139" i="26"/>
  <c r="D139" i="27"/>
  <c r="D139" i="28"/>
  <c r="D139" i="29"/>
  <c r="D139" i="30"/>
  <c r="D139" i="31"/>
  <c r="D139" i="32"/>
  <c r="D139" i="33"/>
  <c r="D140" i="4"/>
  <c r="D140" i="22"/>
  <c r="D140" i="23"/>
  <c r="D140" i="24"/>
  <c r="D140" i="25"/>
  <c r="D140" i="26"/>
  <c r="D140" i="27"/>
  <c r="D140" i="28"/>
  <c r="D140" i="29"/>
  <c r="D140" i="30"/>
  <c r="D140" i="31"/>
  <c r="D140" i="32"/>
  <c r="D140" i="33"/>
  <c r="D141" i="4"/>
  <c r="D141" i="22"/>
  <c r="D141" i="23"/>
  <c r="D141" i="24"/>
  <c r="D141" i="25"/>
  <c r="D141" i="26"/>
  <c r="D141" i="27"/>
  <c r="D141" i="28"/>
  <c r="D141" i="29"/>
  <c r="D141" i="30"/>
  <c r="D141" i="31"/>
  <c r="D141" i="32"/>
  <c r="D141" i="33"/>
  <c r="D142" i="4"/>
  <c r="D142" i="22"/>
  <c r="D142" i="23"/>
  <c r="D142" i="24"/>
  <c r="D142" i="25"/>
  <c r="D142" i="26"/>
  <c r="D142" i="27"/>
  <c r="D142" i="28"/>
  <c r="D142" i="29"/>
  <c r="D142" i="30"/>
  <c r="D142" i="31"/>
  <c r="D142" i="32"/>
  <c r="D142" i="33"/>
  <c r="D143" i="4"/>
  <c r="D143" i="22"/>
  <c r="D143" i="23"/>
  <c r="D143" i="24"/>
  <c r="D143" i="25"/>
  <c r="D143" i="26"/>
  <c r="D143" i="27"/>
  <c r="D143" i="28"/>
  <c r="D143" i="29"/>
  <c r="D143" i="30"/>
  <c r="D143" i="31"/>
  <c r="D143" i="32"/>
  <c r="D143" i="33"/>
  <c r="C134" i="33"/>
  <c r="C135" i="33"/>
  <c r="C136" i="33"/>
  <c r="C137" i="33"/>
  <c r="C138" i="33"/>
  <c r="C139" i="33"/>
  <c r="C140" i="33"/>
  <c r="C141" i="33"/>
  <c r="C142" i="33"/>
  <c r="C143" i="33"/>
  <c r="D122" i="4"/>
  <c r="D122" i="22"/>
  <c r="D122" i="23"/>
  <c r="D122" i="24"/>
  <c r="D122" i="25"/>
  <c r="D122" i="26"/>
  <c r="D122" i="27"/>
  <c r="D122" i="28"/>
  <c r="D122" i="29"/>
  <c r="D122" i="30"/>
  <c r="D122" i="31"/>
  <c r="D122" i="32"/>
  <c r="D122" i="33"/>
  <c r="D123" i="4"/>
  <c r="D123" i="22"/>
  <c r="D123" i="23"/>
  <c r="D123" i="24"/>
  <c r="D123" i="25"/>
  <c r="D123" i="26"/>
  <c r="D123" i="27"/>
  <c r="D123" i="28"/>
  <c r="D123" i="29"/>
  <c r="D123" i="30"/>
  <c r="D123" i="31"/>
  <c r="D123" i="32"/>
  <c r="D123" i="33"/>
  <c r="D124" i="4"/>
  <c r="D124" i="22"/>
  <c r="D124" i="23"/>
  <c r="D124" i="24"/>
  <c r="D124" i="25"/>
  <c r="D124" i="26"/>
  <c r="D124" i="27"/>
  <c r="D124" i="28"/>
  <c r="D124" i="29"/>
  <c r="D124" i="30"/>
  <c r="D124" i="31"/>
  <c r="D124" i="32"/>
  <c r="D124" i="33"/>
  <c r="D125" i="4"/>
  <c r="D125" i="22"/>
  <c r="D125" i="23"/>
  <c r="D125" i="24"/>
  <c r="D125" i="25"/>
  <c r="D125" i="26"/>
  <c r="D125" i="27"/>
  <c r="D125" i="28"/>
  <c r="D125" i="29"/>
  <c r="D125" i="30"/>
  <c r="D125" i="31"/>
  <c r="D125" i="32"/>
  <c r="D125" i="33"/>
  <c r="D126" i="4"/>
  <c r="D126" i="22"/>
  <c r="D126" i="23"/>
  <c r="D126" i="24"/>
  <c r="D126" i="25"/>
  <c r="D126" i="26"/>
  <c r="D126" i="27"/>
  <c r="D126" i="28"/>
  <c r="D126" i="29"/>
  <c r="D126" i="30"/>
  <c r="D126" i="31"/>
  <c r="D126" i="32"/>
  <c r="D126" i="33"/>
  <c r="D127" i="4"/>
  <c r="D127" i="22"/>
  <c r="D127" i="23"/>
  <c r="D127" i="24"/>
  <c r="D127" i="25"/>
  <c r="D127" i="26"/>
  <c r="D127" i="27"/>
  <c r="D127" i="28"/>
  <c r="D127" i="29"/>
  <c r="D127" i="30"/>
  <c r="D127" i="31"/>
  <c r="D127" i="32"/>
  <c r="D127" i="33"/>
  <c r="D128" i="4"/>
  <c r="D128" i="22"/>
  <c r="D128" i="23"/>
  <c r="D128" i="24"/>
  <c r="D128" i="25"/>
  <c r="D128" i="26"/>
  <c r="D128" i="27"/>
  <c r="D128" i="28"/>
  <c r="D128" i="29"/>
  <c r="D128" i="30"/>
  <c r="D128" i="31"/>
  <c r="D128" i="32"/>
  <c r="D128" i="33"/>
  <c r="D129" i="4"/>
  <c r="D129" i="22"/>
  <c r="D129" i="23"/>
  <c r="D129" i="24"/>
  <c r="D129" i="25"/>
  <c r="D129" i="26"/>
  <c r="D129" i="27"/>
  <c r="D129" i="28"/>
  <c r="D129" i="29"/>
  <c r="D129" i="30"/>
  <c r="D129" i="31"/>
  <c r="D129" i="32"/>
  <c r="D129" i="33"/>
  <c r="D130" i="4"/>
  <c r="D130" i="22"/>
  <c r="D130" i="23"/>
  <c r="D130" i="24"/>
  <c r="D130" i="25"/>
  <c r="D130" i="26"/>
  <c r="D130" i="27"/>
  <c r="D130" i="28"/>
  <c r="D130" i="29"/>
  <c r="D130" i="30"/>
  <c r="D130" i="31"/>
  <c r="D130" i="32"/>
  <c r="D130" i="33"/>
  <c r="D131" i="4"/>
  <c r="D131" i="22"/>
  <c r="D131" i="23"/>
  <c r="D131" i="24"/>
  <c r="D131" i="25"/>
  <c r="D131" i="26"/>
  <c r="D131" i="27"/>
  <c r="D131" i="28"/>
  <c r="D131" i="29"/>
  <c r="D131" i="30"/>
  <c r="D131" i="31"/>
  <c r="D131" i="32"/>
  <c r="D131" i="33"/>
  <c r="C122" i="33"/>
  <c r="C123" i="33"/>
  <c r="C124" i="33"/>
  <c r="C125" i="33"/>
  <c r="C126" i="33"/>
  <c r="C127" i="33"/>
  <c r="C128" i="33"/>
  <c r="C129" i="33"/>
  <c r="C130" i="33"/>
  <c r="C131" i="33"/>
  <c r="D110" i="4"/>
  <c r="D110" i="22"/>
  <c r="D110" i="23"/>
  <c r="D110" i="24"/>
  <c r="D110" i="25"/>
  <c r="D110" i="26"/>
  <c r="D110" i="27"/>
  <c r="D110" i="28"/>
  <c r="D110" i="29"/>
  <c r="D110" i="30"/>
  <c r="D110" i="31"/>
  <c r="D110" i="32"/>
  <c r="D110" i="33"/>
  <c r="D111" i="4"/>
  <c r="D111" i="22"/>
  <c r="D111" i="23"/>
  <c r="D111" i="24"/>
  <c r="D111" i="25"/>
  <c r="D111" i="26"/>
  <c r="D111" i="27"/>
  <c r="D111" i="28"/>
  <c r="D111" i="29"/>
  <c r="D111" i="30"/>
  <c r="D111" i="31"/>
  <c r="D111" i="32"/>
  <c r="D111" i="33"/>
  <c r="D112" i="4"/>
  <c r="D112" i="22"/>
  <c r="D112" i="23"/>
  <c r="D112" i="24"/>
  <c r="D112" i="25"/>
  <c r="D112" i="26"/>
  <c r="D112" i="27"/>
  <c r="D112" i="28"/>
  <c r="D112" i="29"/>
  <c r="D112" i="30"/>
  <c r="D112" i="31"/>
  <c r="D112" i="32"/>
  <c r="D112" i="33"/>
  <c r="D113" i="4"/>
  <c r="D113" i="22"/>
  <c r="D113" i="23"/>
  <c r="D113" i="24"/>
  <c r="D113" i="25"/>
  <c r="D113" i="26"/>
  <c r="D113" i="27"/>
  <c r="D113" i="28"/>
  <c r="D113" i="29"/>
  <c r="D113" i="30"/>
  <c r="D113" i="31"/>
  <c r="D113" i="32"/>
  <c r="D113" i="33"/>
  <c r="D114" i="4"/>
  <c r="D114" i="22"/>
  <c r="D114" i="23"/>
  <c r="D114" i="24"/>
  <c r="D114" i="25"/>
  <c r="D114" i="26"/>
  <c r="D114" i="27"/>
  <c r="D114" i="28"/>
  <c r="D114" i="29"/>
  <c r="D114" i="30"/>
  <c r="D114" i="31"/>
  <c r="D114" i="32"/>
  <c r="D114" i="33"/>
  <c r="D115" i="4"/>
  <c r="D115" i="22"/>
  <c r="D115" i="23"/>
  <c r="D115" i="24"/>
  <c r="D115" i="25"/>
  <c r="D115" i="26"/>
  <c r="D115" i="27"/>
  <c r="D115" i="28"/>
  <c r="D115" i="29"/>
  <c r="D115" i="30"/>
  <c r="D115" i="31"/>
  <c r="D115" i="32"/>
  <c r="D115" i="33"/>
  <c r="D116" i="4"/>
  <c r="D116" i="22"/>
  <c r="D116" i="23"/>
  <c r="D116" i="24"/>
  <c r="D116" i="25"/>
  <c r="D116" i="26"/>
  <c r="D116" i="27"/>
  <c r="D116" i="28"/>
  <c r="D116" i="29"/>
  <c r="D116" i="30"/>
  <c r="D116" i="31"/>
  <c r="D116" i="32"/>
  <c r="D116" i="33"/>
  <c r="D117" i="4"/>
  <c r="D117" i="22"/>
  <c r="D117" i="23"/>
  <c r="D117" i="24"/>
  <c r="D117" i="25"/>
  <c r="D117" i="26"/>
  <c r="D117" i="27"/>
  <c r="D117" i="28"/>
  <c r="D117" i="29"/>
  <c r="D117" i="30"/>
  <c r="D117" i="31"/>
  <c r="D117" i="32"/>
  <c r="D117" i="33"/>
  <c r="D118" i="4"/>
  <c r="D118" i="22"/>
  <c r="D118" i="23"/>
  <c r="D118" i="24"/>
  <c r="D118" i="25"/>
  <c r="D118" i="26"/>
  <c r="D118" i="27"/>
  <c r="D118" i="28"/>
  <c r="D118" i="29"/>
  <c r="D118" i="30"/>
  <c r="D118" i="31"/>
  <c r="D118" i="32"/>
  <c r="D118" i="33"/>
  <c r="D119" i="4"/>
  <c r="D119" i="22"/>
  <c r="D119" i="23"/>
  <c r="D119" i="24"/>
  <c r="D119" i="25"/>
  <c r="D119" i="26"/>
  <c r="D119" i="27"/>
  <c r="D119" i="28"/>
  <c r="D119" i="29"/>
  <c r="D119" i="30"/>
  <c r="D119" i="31"/>
  <c r="D119" i="32"/>
  <c r="D119" i="33"/>
  <c r="C110" i="33"/>
  <c r="C111" i="33"/>
  <c r="C112" i="33"/>
  <c r="C113" i="33"/>
  <c r="C114" i="33"/>
  <c r="C115" i="33"/>
  <c r="C116" i="33"/>
  <c r="C117" i="33"/>
  <c r="C118" i="33"/>
  <c r="C119" i="33"/>
  <c r="D98" i="4"/>
  <c r="D98" i="22"/>
  <c r="D98" i="23"/>
  <c r="D98" i="24"/>
  <c r="D98" i="25"/>
  <c r="D98" i="26"/>
  <c r="D98" i="27"/>
  <c r="D98" i="28"/>
  <c r="D98" i="29"/>
  <c r="D98" i="30"/>
  <c r="D98" i="31"/>
  <c r="D98" i="32"/>
  <c r="D98" i="33"/>
  <c r="D99" i="4"/>
  <c r="D99" i="22"/>
  <c r="D99" i="23"/>
  <c r="D99" i="24"/>
  <c r="D99" i="25"/>
  <c r="D99" i="26"/>
  <c r="D99" i="27"/>
  <c r="D99" i="28"/>
  <c r="D99" i="29"/>
  <c r="D99" i="30"/>
  <c r="D99" i="31"/>
  <c r="D99" i="32"/>
  <c r="D99" i="33"/>
  <c r="D100" i="4"/>
  <c r="D100" i="22"/>
  <c r="D100" i="23"/>
  <c r="D100" i="24"/>
  <c r="D100" i="25"/>
  <c r="D100" i="26"/>
  <c r="D100" i="27"/>
  <c r="D100" i="28"/>
  <c r="D100" i="29"/>
  <c r="D100" i="30"/>
  <c r="D100" i="31"/>
  <c r="D100" i="32"/>
  <c r="D100" i="33"/>
  <c r="D101" i="4"/>
  <c r="D101" i="22"/>
  <c r="D101" i="23"/>
  <c r="D101" i="24"/>
  <c r="D101" i="25"/>
  <c r="D101" i="26"/>
  <c r="D101" i="27"/>
  <c r="D101" i="28"/>
  <c r="D101" i="29"/>
  <c r="D101" i="30"/>
  <c r="D101" i="31"/>
  <c r="D101" i="32"/>
  <c r="D101" i="33"/>
  <c r="D102" i="4"/>
  <c r="D102" i="22"/>
  <c r="D102" i="23"/>
  <c r="D102" i="24"/>
  <c r="D102" i="25"/>
  <c r="D102" i="26"/>
  <c r="D102" i="27"/>
  <c r="D102" i="28"/>
  <c r="D102" i="29"/>
  <c r="D102" i="30"/>
  <c r="D102" i="31"/>
  <c r="D102" i="32"/>
  <c r="D102" i="33"/>
  <c r="D103" i="4"/>
  <c r="D103" i="22"/>
  <c r="D103" i="23"/>
  <c r="D103" i="24"/>
  <c r="D103" i="25"/>
  <c r="D103" i="26"/>
  <c r="D103" i="27"/>
  <c r="D103" i="28"/>
  <c r="D103" i="29"/>
  <c r="D103" i="30"/>
  <c r="D103" i="31"/>
  <c r="D103" i="32"/>
  <c r="D103" i="33"/>
  <c r="D104" i="4"/>
  <c r="D104" i="22"/>
  <c r="D104" i="23"/>
  <c r="D104" i="24"/>
  <c r="D104" i="25"/>
  <c r="D104" i="26"/>
  <c r="D104" i="27"/>
  <c r="D104" i="28"/>
  <c r="D104" i="29"/>
  <c r="D104" i="30"/>
  <c r="D104" i="31"/>
  <c r="D104" i="32"/>
  <c r="D104" i="33"/>
  <c r="D105" i="4"/>
  <c r="D105" i="22"/>
  <c r="D105" i="23"/>
  <c r="D105" i="24"/>
  <c r="D105" i="25"/>
  <c r="D105" i="26"/>
  <c r="D105" i="27"/>
  <c r="D105" i="28"/>
  <c r="D105" i="29"/>
  <c r="D105" i="30"/>
  <c r="D105" i="31"/>
  <c r="D105" i="32"/>
  <c r="D105" i="33"/>
  <c r="D106" i="4"/>
  <c r="D106" i="22"/>
  <c r="D106" i="23"/>
  <c r="D106" i="24"/>
  <c r="D106" i="25"/>
  <c r="D106" i="26"/>
  <c r="D106" i="27"/>
  <c r="D106" i="28"/>
  <c r="D106" i="29"/>
  <c r="D106" i="30"/>
  <c r="D106" i="31"/>
  <c r="D106" i="32"/>
  <c r="D106" i="33"/>
  <c r="D107" i="4"/>
  <c r="D107" i="22"/>
  <c r="D107" i="23"/>
  <c r="D107" i="24"/>
  <c r="D107" i="25"/>
  <c r="D107" i="26"/>
  <c r="D107" i="27"/>
  <c r="D107" i="28"/>
  <c r="D107" i="29"/>
  <c r="D107" i="30"/>
  <c r="D107" i="31"/>
  <c r="D107" i="32"/>
  <c r="D107" i="33"/>
  <c r="C98" i="33"/>
  <c r="C99" i="33"/>
  <c r="C100" i="33"/>
  <c r="C101" i="33"/>
  <c r="C102" i="33"/>
  <c r="C103" i="33"/>
  <c r="C104" i="33"/>
  <c r="C105" i="33"/>
  <c r="C106" i="33"/>
  <c r="C107" i="33"/>
  <c r="D86" i="4"/>
  <c r="D86" i="22"/>
  <c r="D86" i="23"/>
  <c r="D86" i="24"/>
  <c r="D86" i="25"/>
  <c r="D86" i="26"/>
  <c r="D86" i="27"/>
  <c r="D86" i="28"/>
  <c r="D86" i="29"/>
  <c r="D86" i="30"/>
  <c r="D86" i="31"/>
  <c r="D86" i="32"/>
  <c r="D86" i="33"/>
  <c r="D87" i="4"/>
  <c r="D87" i="22"/>
  <c r="D87" i="23"/>
  <c r="D87" i="24"/>
  <c r="D87" i="25"/>
  <c r="D87" i="26"/>
  <c r="D87" i="27"/>
  <c r="D87" i="28"/>
  <c r="D87" i="29"/>
  <c r="D87" i="30"/>
  <c r="D87" i="31"/>
  <c r="D87" i="32"/>
  <c r="D87" i="33"/>
  <c r="D88" i="4"/>
  <c r="D88" i="22"/>
  <c r="D88" i="23"/>
  <c r="D88" i="24"/>
  <c r="D88" i="25"/>
  <c r="D88" i="26"/>
  <c r="D88" i="27"/>
  <c r="D88" i="28"/>
  <c r="D88" i="29"/>
  <c r="D88" i="30"/>
  <c r="D88" i="31"/>
  <c r="D88" i="32"/>
  <c r="D88" i="33"/>
  <c r="D89" i="4"/>
  <c r="D89" i="22"/>
  <c r="D89" i="23"/>
  <c r="D89" i="24"/>
  <c r="D89" i="25"/>
  <c r="D89" i="26"/>
  <c r="D89" i="27"/>
  <c r="D89" i="28"/>
  <c r="D89" i="29"/>
  <c r="D89" i="30"/>
  <c r="D89" i="31"/>
  <c r="D89" i="32"/>
  <c r="D89" i="33"/>
  <c r="D90" i="4"/>
  <c r="D90" i="22"/>
  <c r="D90" i="23"/>
  <c r="D90" i="24"/>
  <c r="D90" i="25"/>
  <c r="D90" i="26"/>
  <c r="D90" i="27"/>
  <c r="D90" i="28"/>
  <c r="D90" i="29"/>
  <c r="D90" i="30"/>
  <c r="D90" i="31"/>
  <c r="D90" i="32"/>
  <c r="D90" i="33"/>
  <c r="D91" i="4"/>
  <c r="D91" i="22"/>
  <c r="D91" i="23"/>
  <c r="D91" i="24"/>
  <c r="D91" i="25"/>
  <c r="D91" i="26"/>
  <c r="D91" i="27"/>
  <c r="D91" i="28"/>
  <c r="D91" i="29"/>
  <c r="D91" i="30"/>
  <c r="D91" i="31"/>
  <c r="D91" i="32"/>
  <c r="D91" i="33"/>
  <c r="D92" i="4"/>
  <c r="D92" i="22"/>
  <c r="D92" i="23"/>
  <c r="D92" i="24"/>
  <c r="D92" i="25"/>
  <c r="D92" i="26"/>
  <c r="D92" i="27"/>
  <c r="D92" i="28"/>
  <c r="D92" i="29"/>
  <c r="D92" i="30"/>
  <c r="D92" i="31"/>
  <c r="D92" i="32"/>
  <c r="D92" i="33"/>
  <c r="D93" i="4"/>
  <c r="D93" i="22"/>
  <c r="D93" i="23"/>
  <c r="D93" i="24"/>
  <c r="D93" i="25"/>
  <c r="D93" i="26"/>
  <c r="D93" i="27"/>
  <c r="D93" i="28"/>
  <c r="D93" i="29"/>
  <c r="D93" i="30"/>
  <c r="D93" i="31"/>
  <c r="D93" i="32"/>
  <c r="D93" i="33"/>
  <c r="D94" i="4"/>
  <c r="D94" i="22"/>
  <c r="D94" i="23"/>
  <c r="D94" i="24"/>
  <c r="D94" i="25"/>
  <c r="D94" i="26"/>
  <c r="D94" i="27"/>
  <c r="D94" i="28"/>
  <c r="D94" i="29"/>
  <c r="D94" i="30"/>
  <c r="D94" i="31"/>
  <c r="D94" i="32"/>
  <c r="D94" i="33"/>
  <c r="D95" i="4"/>
  <c r="D95" i="22"/>
  <c r="D95" i="23"/>
  <c r="D95" i="24"/>
  <c r="D95" i="25"/>
  <c r="D95" i="26"/>
  <c r="D95" i="27"/>
  <c r="D95" i="28"/>
  <c r="D95" i="29"/>
  <c r="D95" i="30"/>
  <c r="D95" i="31"/>
  <c r="D95" i="32"/>
  <c r="D95" i="33"/>
  <c r="C86" i="33"/>
  <c r="C87" i="33"/>
  <c r="C88" i="33"/>
  <c r="C89" i="33"/>
  <c r="C90" i="33"/>
  <c r="C91" i="33"/>
  <c r="C92" i="33"/>
  <c r="C93" i="33"/>
  <c r="C94" i="33"/>
  <c r="C95" i="33"/>
  <c r="D74" i="4"/>
  <c r="D74" i="22"/>
  <c r="D74" i="23"/>
  <c r="D74" i="24"/>
  <c r="D74" i="25"/>
  <c r="D74" i="26"/>
  <c r="D74" i="27"/>
  <c r="D74" i="28"/>
  <c r="D74" i="29"/>
  <c r="D74" i="30"/>
  <c r="D74" i="31"/>
  <c r="D74" i="32"/>
  <c r="D74" i="33"/>
  <c r="D75" i="4"/>
  <c r="D75" i="22"/>
  <c r="D75" i="23"/>
  <c r="D75" i="24"/>
  <c r="D75" i="25"/>
  <c r="D75" i="26"/>
  <c r="D75" i="27"/>
  <c r="D75" i="28"/>
  <c r="D75" i="29"/>
  <c r="D75" i="30"/>
  <c r="D75" i="31"/>
  <c r="D75" i="32"/>
  <c r="D75" i="33"/>
  <c r="D76" i="4"/>
  <c r="D76" i="22"/>
  <c r="D76" i="23"/>
  <c r="D76" i="24"/>
  <c r="D76" i="25"/>
  <c r="D76" i="26"/>
  <c r="D76" i="27"/>
  <c r="D76" i="28"/>
  <c r="D76" i="29"/>
  <c r="D76" i="30"/>
  <c r="D76" i="31"/>
  <c r="D76" i="32"/>
  <c r="D76" i="33"/>
  <c r="D77" i="22"/>
  <c r="D77" i="4"/>
  <c r="D77" i="23"/>
  <c r="D77" i="24"/>
  <c r="D77" i="25"/>
  <c r="D77" i="26"/>
  <c r="D77" i="27"/>
  <c r="D77" i="28"/>
  <c r="D77" i="29"/>
  <c r="D77" i="30"/>
  <c r="D77" i="31"/>
  <c r="D77" i="32"/>
  <c r="D77" i="33"/>
  <c r="D78" i="22"/>
  <c r="D78" i="4"/>
  <c r="D78" i="23"/>
  <c r="D78" i="24"/>
  <c r="D78" i="25"/>
  <c r="D78" i="26"/>
  <c r="D78" i="27"/>
  <c r="D78" i="28"/>
  <c r="D78" i="29"/>
  <c r="D78" i="30"/>
  <c r="D78" i="31"/>
  <c r="D78" i="32"/>
  <c r="D78" i="33"/>
  <c r="D79" i="4"/>
  <c r="D79" i="22"/>
  <c r="D79" i="23"/>
  <c r="D79" i="24"/>
  <c r="D79" i="25"/>
  <c r="D79" i="26"/>
  <c r="D79" i="27"/>
  <c r="D79" i="28"/>
  <c r="D79" i="29"/>
  <c r="D79" i="30"/>
  <c r="D79" i="31"/>
  <c r="D79" i="32"/>
  <c r="D79" i="33"/>
  <c r="D80" i="4"/>
  <c r="D80" i="22"/>
  <c r="D80" i="23"/>
  <c r="D80" i="24"/>
  <c r="D80" i="25"/>
  <c r="D80" i="26"/>
  <c r="D80" i="27"/>
  <c r="D80" i="28"/>
  <c r="D80" i="29"/>
  <c r="D80" i="30"/>
  <c r="D80" i="31"/>
  <c r="D80" i="32"/>
  <c r="D80" i="33"/>
  <c r="D81" i="4"/>
  <c r="D81" i="22"/>
  <c r="D81" i="23"/>
  <c r="D81" i="24"/>
  <c r="D81" i="25"/>
  <c r="D81" i="26"/>
  <c r="D81" i="27"/>
  <c r="D81" i="28"/>
  <c r="D81" i="29"/>
  <c r="D81" i="30"/>
  <c r="D81" i="31"/>
  <c r="D81" i="32"/>
  <c r="D81" i="33"/>
  <c r="D82" i="4"/>
  <c r="D82" i="22"/>
  <c r="D82" i="23"/>
  <c r="D82" i="24"/>
  <c r="D82" i="25"/>
  <c r="D82" i="26"/>
  <c r="D82" i="27"/>
  <c r="D82" i="28"/>
  <c r="D82" i="29"/>
  <c r="D82" i="30"/>
  <c r="D82" i="31"/>
  <c r="D82" i="32"/>
  <c r="D82" i="33"/>
  <c r="D83" i="4"/>
  <c r="D83" i="22"/>
  <c r="D83" i="23"/>
  <c r="D83" i="24"/>
  <c r="D83" i="25"/>
  <c r="D83" i="26"/>
  <c r="D83" i="27"/>
  <c r="D83" i="28"/>
  <c r="D83" i="29"/>
  <c r="D83" i="30"/>
  <c r="D83" i="31"/>
  <c r="D83" i="32"/>
  <c r="D83" i="33"/>
  <c r="C74" i="33"/>
  <c r="C75" i="33"/>
  <c r="C76" i="33"/>
  <c r="C77" i="33"/>
  <c r="C78" i="33"/>
  <c r="C79" i="33"/>
  <c r="C80" i="33"/>
  <c r="C81" i="33"/>
  <c r="C82" i="33"/>
  <c r="C83" i="33"/>
  <c r="D52" i="4"/>
  <c r="D52" i="22"/>
  <c r="D52" i="23"/>
  <c r="D52" i="24"/>
  <c r="D52" i="25"/>
  <c r="D52" i="26"/>
  <c r="D52" i="27"/>
  <c r="D52" i="28"/>
  <c r="D52" i="29"/>
  <c r="D52" i="30"/>
  <c r="D52" i="31"/>
  <c r="D52" i="32"/>
  <c r="D52" i="33"/>
  <c r="D53" i="4"/>
  <c r="D53" i="22"/>
  <c r="D53" i="23"/>
  <c r="D53" i="24"/>
  <c r="D53" i="25"/>
  <c r="D53" i="26"/>
  <c r="D53" i="27"/>
  <c r="D53" i="28"/>
  <c r="D53" i="29"/>
  <c r="D53" i="30"/>
  <c r="D53" i="31"/>
  <c r="D53" i="32"/>
  <c r="D53" i="33"/>
  <c r="D54" i="4"/>
  <c r="D54" i="22"/>
  <c r="D54" i="23"/>
  <c r="D54" i="24"/>
  <c r="D54" i="25"/>
  <c r="D54" i="26"/>
  <c r="D54" i="27"/>
  <c r="D54" i="28"/>
  <c r="D54" i="29"/>
  <c r="D54" i="30"/>
  <c r="D54" i="31"/>
  <c r="D54" i="32"/>
  <c r="D54" i="33"/>
  <c r="D55" i="4"/>
  <c r="D55" i="22"/>
  <c r="D55" i="23"/>
  <c r="D55" i="24"/>
  <c r="D55" i="25"/>
  <c r="D55" i="26"/>
  <c r="D55" i="27"/>
  <c r="D55" i="28"/>
  <c r="D55" i="29"/>
  <c r="D55" i="30"/>
  <c r="D55" i="31"/>
  <c r="D55" i="32"/>
  <c r="D55" i="33"/>
  <c r="D56" i="4"/>
  <c r="D56" i="22"/>
  <c r="D56" i="23"/>
  <c r="D56" i="24"/>
  <c r="D56" i="25"/>
  <c r="D56" i="26"/>
  <c r="D56" i="27"/>
  <c r="D56" i="28"/>
  <c r="D56" i="29"/>
  <c r="D56" i="30"/>
  <c r="D56" i="31"/>
  <c r="D56" i="32"/>
  <c r="D56" i="33"/>
  <c r="D57" i="4"/>
  <c r="D57" i="22"/>
  <c r="D57" i="23"/>
  <c r="D57" i="24"/>
  <c r="D57" i="25"/>
  <c r="D57" i="26"/>
  <c r="D57" i="27"/>
  <c r="D57" i="28"/>
  <c r="D57" i="29"/>
  <c r="D57" i="30"/>
  <c r="D57" i="31"/>
  <c r="D57" i="32"/>
  <c r="D57" i="33"/>
  <c r="D58" i="4"/>
  <c r="D58" i="22"/>
  <c r="D58" i="23"/>
  <c r="D58" i="24"/>
  <c r="D58" i="25"/>
  <c r="D58" i="26"/>
  <c r="D58" i="27"/>
  <c r="D58" i="28"/>
  <c r="D58" i="29"/>
  <c r="D58" i="30"/>
  <c r="D58" i="31"/>
  <c r="D58" i="32"/>
  <c r="D58" i="33"/>
  <c r="D59" i="4"/>
  <c r="D59" i="22"/>
  <c r="D59" i="23"/>
  <c r="D59" i="24"/>
  <c r="D59" i="25"/>
  <c r="D59" i="26"/>
  <c r="D59" i="27"/>
  <c r="D59" i="28"/>
  <c r="D59" i="29"/>
  <c r="D59" i="30"/>
  <c r="D59" i="31"/>
  <c r="D59" i="32"/>
  <c r="D59" i="33"/>
  <c r="D60" i="4"/>
  <c r="D60" i="22"/>
  <c r="D60" i="23"/>
  <c r="D60" i="24"/>
  <c r="D60" i="25"/>
  <c r="D60" i="26"/>
  <c r="D60" i="27"/>
  <c r="D60" i="28"/>
  <c r="D60" i="29"/>
  <c r="D60" i="30"/>
  <c r="D60" i="31"/>
  <c r="D60" i="32"/>
  <c r="D60" i="33"/>
  <c r="D61" i="4"/>
  <c r="D61" i="22"/>
  <c r="D61" i="23"/>
  <c r="D61" i="24"/>
  <c r="D61" i="25"/>
  <c r="D61" i="26"/>
  <c r="D61" i="27"/>
  <c r="D61" i="28"/>
  <c r="D61" i="29"/>
  <c r="D61" i="30"/>
  <c r="D61" i="31"/>
  <c r="D61" i="32"/>
  <c r="D61" i="33"/>
  <c r="D62" i="4"/>
  <c r="D62" i="22"/>
  <c r="D62" i="23"/>
  <c r="D62" i="24"/>
  <c r="D62" i="25"/>
  <c r="D62" i="26"/>
  <c r="D62" i="27"/>
  <c r="D62" i="28"/>
  <c r="D62" i="29"/>
  <c r="D62" i="30"/>
  <c r="D62" i="31"/>
  <c r="D62" i="32"/>
  <c r="D62" i="33"/>
  <c r="D63" i="4"/>
  <c r="D63" i="22"/>
  <c r="D63" i="23"/>
  <c r="D63" i="24"/>
  <c r="D63" i="25"/>
  <c r="D63" i="26"/>
  <c r="D63" i="27"/>
  <c r="D63" i="28"/>
  <c r="D63" i="29"/>
  <c r="D63" i="30"/>
  <c r="D63" i="31"/>
  <c r="D63" i="32"/>
  <c r="D63" i="33"/>
  <c r="D64" i="4"/>
  <c r="D64" i="22"/>
  <c r="D64" i="23"/>
  <c r="D64" i="24"/>
  <c r="D64" i="25"/>
  <c r="D64" i="26"/>
  <c r="D64" i="27"/>
  <c r="D64" i="28"/>
  <c r="D64" i="29"/>
  <c r="D64" i="30"/>
  <c r="D64" i="31"/>
  <c r="D64" i="32"/>
  <c r="D64" i="33"/>
  <c r="D65" i="4"/>
  <c r="D65" i="22"/>
  <c r="D65" i="23"/>
  <c r="D65" i="24"/>
  <c r="D65" i="25"/>
  <c r="D65" i="26"/>
  <c r="D65" i="27"/>
  <c r="D65" i="28"/>
  <c r="D65" i="29"/>
  <c r="D65" i="30"/>
  <c r="D65" i="31"/>
  <c r="D65" i="32"/>
  <c r="D65" i="33"/>
  <c r="D66" i="4"/>
  <c r="D66" i="22"/>
  <c r="D66" i="23"/>
  <c r="D66" i="24"/>
  <c r="D66" i="25"/>
  <c r="D66" i="26"/>
  <c r="D66" i="27"/>
  <c r="D66" i="28"/>
  <c r="D66" i="29"/>
  <c r="D66" i="30"/>
  <c r="D66" i="31"/>
  <c r="D66" i="32"/>
  <c r="D66" i="33"/>
  <c r="C52" i="33"/>
  <c r="C53" i="33"/>
  <c r="C54" i="33"/>
  <c r="C55" i="33"/>
  <c r="C56" i="33"/>
  <c r="C57" i="33"/>
  <c r="C58" i="33"/>
  <c r="C59" i="33"/>
  <c r="C60" i="33"/>
  <c r="C61" i="33"/>
  <c r="C62" i="33"/>
  <c r="C63" i="33"/>
  <c r="C64" i="33"/>
  <c r="C65" i="33"/>
  <c r="C66" i="33"/>
  <c r="C73" i="33"/>
  <c r="C85" i="33"/>
  <c r="C97" i="33"/>
  <c r="C109" i="33"/>
  <c r="C121" i="33"/>
  <c r="C133" i="33"/>
  <c r="C145" i="33"/>
  <c r="C157" i="33"/>
  <c r="C169" i="33"/>
  <c r="C181" i="33"/>
  <c r="C193" i="33"/>
  <c r="C205" i="33"/>
  <c r="C217" i="33"/>
  <c r="C229" i="33"/>
  <c r="C241" i="33"/>
  <c r="C71" i="33"/>
  <c r="C254" i="33"/>
  <c r="D73" i="33"/>
  <c r="D85" i="33"/>
  <c r="D97" i="33"/>
  <c r="D109" i="33"/>
  <c r="D121" i="33"/>
  <c r="D133" i="33"/>
  <c r="D145" i="33"/>
  <c r="D157" i="33"/>
  <c r="D169" i="33"/>
  <c r="D181" i="33"/>
  <c r="D193" i="33"/>
  <c r="D205" i="33"/>
  <c r="D217" i="33"/>
  <c r="D229" i="33"/>
  <c r="D241" i="33"/>
  <c r="D71" i="33"/>
  <c r="D254" i="33"/>
  <c r="E254" i="33"/>
  <c r="F251" i="33"/>
  <c r="E251" i="33"/>
  <c r="B251" i="33"/>
  <c r="F250" i="33"/>
  <c r="E250" i="33"/>
  <c r="B250" i="33"/>
  <c r="F249" i="33"/>
  <c r="E249" i="33"/>
  <c r="B249" i="33"/>
  <c r="F248" i="33"/>
  <c r="E248" i="33"/>
  <c r="B248" i="33"/>
  <c r="F247" i="33"/>
  <c r="E247" i="33"/>
  <c r="B247" i="33"/>
  <c r="F246" i="33"/>
  <c r="E246" i="33"/>
  <c r="B246" i="33"/>
  <c r="F245" i="33"/>
  <c r="E245" i="33"/>
  <c r="B245" i="33"/>
  <c r="F244" i="33"/>
  <c r="E244" i="33"/>
  <c r="B244" i="33"/>
  <c r="F243" i="33"/>
  <c r="E243" i="33"/>
  <c r="B243" i="33"/>
  <c r="F242" i="33"/>
  <c r="E242" i="33"/>
  <c r="B242" i="33"/>
  <c r="F241" i="33"/>
  <c r="E241" i="33"/>
  <c r="B241" i="33"/>
  <c r="F239" i="33"/>
  <c r="E239" i="33"/>
  <c r="B239" i="33"/>
  <c r="F238" i="33"/>
  <c r="E238" i="33"/>
  <c r="B238" i="33"/>
  <c r="F237" i="33"/>
  <c r="E237" i="33"/>
  <c r="B237" i="33"/>
  <c r="F236" i="33"/>
  <c r="E236" i="33"/>
  <c r="B236" i="33"/>
  <c r="F235" i="33"/>
  <c r="E235" i="33"/>
  <c r="B235" i="33"/>
  <c r="F234" i="33"/>
  <c r="E234" i="33"/>
  <c r="B234" i="33"/>
  <c r="F233" i="33"/>
  <c r="E233" i="33"/>
  <c r="B233" i="33"/>
  <c r="F232" i="33"/>
  <c r="E232" i="33"/>
  <c r="B232" i="33"/>
  <c r="F231" i="33"/>
  <c r="E231" i="33"/>
  <c r="B231" i="33"/>
  <c r="F230" i="33"/>
  <c r="E230" i="33"/>
  <c r="B230" i="33"/>
  <c r="F229" i="33"/>
  <c r="E229" i="33"/>
  <c r="B229" i="33"/>
  <c r="F227" i="33"/>
  <c r="E227" i="33"/>
  <c r="B227" i="33"/>
  <c r="F226" i="33"/>
  <c r="E226" i="33"/>
  <c r="B226" i="33"/>
  <c r="F225" i="33"/>
  <c r="E225" i="33"/>
  <c r="B225" i="33"/>
  <c r="F224" i="33"/>
  <c r="E224" i="33"/>
  <c r="B224" i="33"/>
  <c r="F223" i="33"/>
  <c r="E223" i="33"/>
  <c r="B223" i="33"/>
  <c r="F222" i="33"/>
  <c r="E222" i="33"/>
  <c r="B222" i="33"/>
  <c r="F221" i="33"/>
  <c r="E221" i="33"/>
  <c r="B221" i="33"/>
  <c r="F220" i="33"/>
  <c r="E220" i="33"/>
  <c r="B220" i="33"/>
  <c r="F219" i="33"/>
  <c r="E219" i="33"/>
  <c r="B219" i="33"/>
  <c r="F218" i="33"/>
  <c r="E218" i="33"/>
  <c r="B218" i="33"/>
  <c r="F217" i="33"/>
  <c r="E217" i="33"/>
  <c r="B217" i="33"/>
  <c r="F215" i="33"/>
  <c r="E215" i="33"/>
  <c r="B215" i="33"/>
  <c r="F214" i="33"/>
  <c r="E214" i="33"/>
  <c r="B214" i="33"/>
  <c r="F213" i="33"/>
  <c r="E213" i="33"/>
  <c r="B213" i="33"/>
  <c r="F212" i="33"/>
  <c r="E212" i="33"/>
  <c r="B212" i="33"/>
  <c r="F211" i="33"/>
  <c r="E211" i="33"/>
  <c r="B211" i="33"/>
  <c r="F210" i="33"/>
  <c r="E210" i="33"/>
  <c r="B210" i="33"/>
  <c r="F209" i="33"/>
  <c r="E209" i="33"/>
  <c r="B209" i="33"/>
  <c r="F208" i="33"/>
  <c r="E208" i="33"/>
  <c r="B208" i="33"/>
  <c r="F207" i="33"/>
  <c r="E207" i="33"/>
  <c r="B207" i="33"/>
  <c r="F206" i="33"/>
  <c r="E206" i="33"/>
  <c r="B206" i="33"/>
  <c r="F205" i="33"/>
  <c r="E205" i="33"/>
  <c r="B205" i="33"/>
  <c r="F203" i="33"/>
  <c r="E203" i="33"/>
  <c r="B203" i="33"/>
  <c r="F202" i="33"/>
  <c r="E202" i="33"/>
  <c r="B202" i="33"/>
  <c r="F201" i="33"/>
  <c r="E201" i="33"/>
  <c r="B201" i="33"/>
  <c r="F200" i="33"/>
  <c r="E200" i="33"/>
  <c r="B200" i="33"/>
  <c r="F199" i="33"/>
  <c r="E199" i="33"/>
  <c r="B199" i="33"/>
  <c r="F198" i="33"/>
  <c r="E198" i="33"/>
  <c r="B198" i="33"/>
  <c r="F197" i="33"/>
  <c r="E197" i="33"/>
  <c r="B197" i="33"/>
  <c r="F196" i="33"/>
  <c r="E196" i="33"/>
  <c r="B196" i="33"/>
  <c r="F195" i="33"/>
  <c r="E195" i="33"/>
  <c r="B195" i="33"/>
  <c r="F194" i="33"/>
  <c r="E194" i="33"/>
  <c r="B194" i="33"/>
  <c r="F193" i="33"/>
  <c r="E193" i="33"/>
  <c r="B193" i="33"/>
  <c r="F191" i="33"/>
  <c r="E191" i="33"/>
  <c r="B191" i="33"/>
  <c r="F190" i="33"/>
  <c r="E190" i="33"/>
  <c r="B190" i="33"/>
  <c r="F189" i="33"/>
  <c r="E189" i="33"/>
  <c r="B189" i="33"/>
  <c r="F188" i="33"/>
  <c r="E188" i="33"/>
  <c r="B188" i="33"/>
  <c r="F187" i="33"/>
  <c r="E187" i="33"/>
  <c r="B187" i="33"/>
  <c r="F186" i="33"/>
  <c r="E186" i="33"/>
  <c r="B186" i="33"/>
  <c r="F185" i="33"/>
  <c r="E185" i="33"/>
  <c r="B185" i="33"/>
  <c r="F184" i="33"/>
  <c r="E184" i="33"/>
  <c r="B184" i="33"/>
  <c r="F183" i="33"/>
  <c r="E183" i="33"/>
  <c r="B183" i="33"/>
  <c r="F182" i="33"/>
  <c r="E182" i="33"/>
  <c r="B182" i="33"/>
  <c r="F181" i="33"/>
  <c r="E181" i="33"/>
  <c r="B181" i="33"/>
  <c r="F179" i="33"/>
  <c r="E179" i="33"/>
  <c r="B179" i="33"/>
  <c r="F178" i="33"/>
  <c r="E178" i="33"/>
  <c r="B178" i="33"/>
  <c r="F177" i="33"/>
  <c r="E177" i="33"/>
  <c r="B177" i="33"/>
  <c r="F176" i="33"/>
  <c r="E176" i="33"/>
  <c r="B176" i="33"/>
  <c r="F175" i="33"/>
  <c r="E175" i="33"/>
  <c r="B175" i="33"/>
  <c r="F174" i="33"/>
  <c r="E174" i="33"/>
  <c r="B174" i="33"/>
  <c r="F173" i="33"/>
  <c r="E173" i="33"/>
  <c r="B173" i="33"/>
  <c r="F172" i="33"/>
  <c r="E172" i="33"/>
  <c r="B172" i="33"/>
  <c r="F171" i="33"/>
  <c r="E171" i="33"/>
  <c r="B171" i="33"/>
  <c r="F170" i="33"/>
  <c r="E170" i="33"/>
  <c r="B170" i="33"/>
  <c r="F169" i="33"/>
  <c r="E169" i="33"/>
  <c r="B169" i="33"/>
  <c r="F167" i="33"/>
  <c r="E167" i="33"/>
  <c r="B167" i="33"/>
  <c r="F166" i="33"/>
  <c r="E166" i="33"/>
  <c r="B166" i="33"/>
  <c r="F165" i="33"/>
  <c r="E165" i="33"/>
  <c r="B165" i="33"/>
  <c r="F164" i="33"/>
  <c r="E164" i="33"/>
  <c r="B164" i="33"/>
  <c r="F163" i="33"/>
  <c r="E163" i="33"/>
  <c r="B163" i="33"/>
  <c r="F162" i="33"/>
  <c r="E162" i="33"/>
  <c r="B162" i="33"/>
  <c r="F161" i="33"/>
  <c r="E161" i="33"/>
  <c r="B161" i="33"/>
  <c r="F160" i="33"/>
  <c r="E160" i="33"/>
  <c r="B160" i="33"/>
  <c r="F159" i="33"/>
  <c r="E159" i="33"/>
  <c r="B159" i="33"/>
  <c r="F158" i="33"/>
  <c r="E158" i="33"/>
  <c r="B158" i="33"/>
  <c r="F157" i="33"/>
  <c r="E157" i="33"/>
  <c r="B157" i="33"/>
  <c r="F155" i="33"/>
  <c r="E155" i="33"/>
  <c r="B155" i="33"/>
  <c r="F154" i="33"/>
  <c r="E154" i="33"/>
  <c r="B154" i="33"/>
  <c r="F153" i="33"/>
  <c r="E153" i="33"/>
  <c r="B153" i="33"/>
  <c r="F152" i="33"/>
  <c r="E152" i="33"/>
  <c r="B152" i="33"/>
  <c r="F151" i="33"/>
  <c r="E151" i="33"/>
  <c r="B151" i="33"/>
  <c r="F150" i="33"/>
  <c r="E150" i="33"/>
  <c r="B150" i="33"/>
  <c r="F149" i="33"/>
  <c r="E149" i="33"/>
  <c r="B149" i="33"/>
  <c r="F148" i="33"/>
  <c r="E148" i="33"/>
  <c r="B148" i="33"/>
  <c r="F147" i="33"/>
  <c r="E147" i="33"/>
  <c r="B147" i="33"/>
  <c r="F146" i="33"/>
  <c r="E146" i="33"/>
  <c r="B146" i="33"/>
  <c r="F145" i="33"/>
  <c r="E145" i="33"/>
  <c r="B145" i="33"/>
  <c r="F143" i="33"/>
  <c r="E143" i="33"/>
  <c r="B143" i="33"/>
  <c r="F142" i="33"/>
  <c r="E142" i="33"/>
  <c r="B142" i="33"/>
  <c r="F141" i="33"/>
  <c r="E141" i="33"/>
  <c r="B141" i="33"/>
  <c r="F140" i="33"/>
  <c r="E140" i="33"/>
  <c r="B140" i="33"/>
  <c r="F139" i="33"/>
  <c r="E139" i="33"/>
  <c r="B139" i="33"/>
  <c r="F138" i="33"/>
  <c r="E138" i="33"/>
  <c r="B138" i="33"/>
  <c r="F137" i="33"/>
  <c r="E137" i="33"/>
  <c r="B137" i="33"/>
  <c r="F136" i="33"/>
  <c r="E136" i="33"/>
  <c r="B136" i="33"/>
  <c r="F135" i="33"/>
  <c r="E135" i="33"/>
  <c r="B135" i="33"/>
  <c r="F134" i="33"/>
  <c r="E134" i="33"/>
  <c r="B134" i="33"/>
  <c r="F133" i="33"/>
  <c r="E133" i="33"/>
  <c r="B133" i="33"/>
  <c r="F131" i="33"/>
  <c r="E131" i="33"/>
  <c r="B131" i="33"/>
  <c r="F130" i="33"/>
  <c r="E130" i="33"/>
  <c r="B130" i="33"/>
  <c r="F129" i="33"/>
  <c r="E129" i="33"/>
  <c r="B129" i="33"/>
  <c r="F128" i="33"/>
  <c r="E128" i="33"/>
  <c r="B128" i="33"/>
  <c r="F127" i="33"/>
  <c r="E127" i="33"/>
  <c r="B127" i="33"/>
  <c r="F126" i="33"/>
  <c r="E126" i="33"/>
  <c r="B126" i="33"/>
  <c r="F125" i="33"/>
  <c r="E125" i="33"/>
  <c r="B125" i="33"/>
  <c r="F124" i="33"/>
  <c r="E124" i="33"/>
  <c r="B124" i="33"/>
  <c r="F123" i="33"/>
  <c r="E123" i="33"/>
  <c r="B123" i="33"/>
  <c r="F122" i="33"/>
  <c r="E122" i="33"/>
  <c r="B122" i="33"/>
  <c r="F121" i="33"/>
  <c r="E121" i="33"/>
  <c r="B121" i="33"/>
  <c r="F119" i="33"/>
  <c r="E119" i="33"/>
  <c r="B119" i="33"/>
  <c r="F118" i="33"/>
  <c r="E118" i="33"/>
  <c r="B118" i="33"/>
  <c r="F117" i="33"/>
  <c r="E117" i="33"/>
  <c r="B117" i="33"/>
  <c r="F116" i="33"/>
  <c r="E116" i="33"/>
  <c r="B116" i="33"/>
  <c r="F115" i="33"/>
  <c r="E115" i="33"/>
  <c r="B115" i="33"/>
  <c r="F114" i="33"/>
  <c r="E114" i="33"/>
  <c r="B114" i="33"/>
  <c r="F113" i="33"/>
  <c r="E113" i="33"/>
  <c r="B113" i="33"/>
  <c r="F112" i="33"/>
  <c r="E112" i="33"/>
  <c r="B112" i="33"/>
  <c r="F111" i="33"/>
  <c r="E111" i="33"/>
  <c r="B111" i="33"/>
  <c r="F110" i="33"/>
  <c r="E110" i="33"/>
  <c r="B110" i="33"/>
  <c r="F109" i="33"/>
  <c r="E109" i="33"/>
  <c r="B109" i="33"/>
  <c r="F107" i="33"/>
  <c r="E107" i="33"/>
  <c r="B107" i="33"/>
  <c r="F106" i="33"/>
  <c r="E106" i="33"/>
  <c r="B106" i="33"/>
  <c r="F105" i="33"/>
  <c r="E105" i="33"/>
  <c r="B105" i="33"/>
  <c r="F104" i="33"/>
  <c r="E104" i="33"/>
  <c r="B104" i="33"/>
  <c r="F103" i="33"/>
  <c r="E103" i="33"/>
  <c r="B103" i="33"/>
  <c r="F102" i="33"/>
  <c r="E102" i="33"/>
  <c r="B102" i="33"/>
  <c r="F101" i="33"/>
  <c r="E101" i="33"/>
  <c r="B101" i="33"/>
  <c r="F100" i="33"/>
  <c r="E100" i="33"/>
  <c r="B100" i="33"/>
  <c r="F99" i="33"/>
  <c r="E99" i="33"/>
  <c r="B99" i="33"/>
  <c r="F98" i="33"/>
  <c r="E98" i="33"/>
  <c r="B98" i="33"/>
  <c r="F97" i="33"/>
  <c r="E97" i="33"/>
  <c r="B97" i="33"/>
  <c r="F95" i="33"/>
  <c r="E95" i="33"/>
  <c r="B95" i="33"/>
  <c r="F94" i="33"/>
  <c r="E94" i="33"/>
  <c r="B94" i="33"/>
  <c r="F93" i="33"/>
  <c r="E93" i="33"/>
  <c r="B93" i="33"/>
  <c r="F92" i="33"/>
  <c r="E92" i="33"/>
  <c r="B92" i="33"/>
  <c r="F91" i="33"/>
  <c r="E91" i="33"/>
  <c r="B91" i="33"/>
  <c r="F90" i="33"/>
  <c r="E90" i="33"/>
  <c r="B90" i="33"/>
  <c r="F89" i="33"/>
  <c r="E89" i="33"/>
  <c r="B89" i="33"/>
  <c r="F88" i="33"/>
  <c r="E88" i="33"/>
  <c r="B88" i="33"/>
  <c r="F87" i="33"/>
  <c r="E87" i="33"/>
  <c r="B87" i="33"/>
  <c r="F86" i="33"/>
  <c r="E86" i="33"/>
  <c r="B86" i="33"/>
  <c r="F85" i="33"/>
  <c r="E85" i="33"/>
  <c r="B85" i="33"/>
  <c r="F83" i="33"/>
  <c r="E83" i="33"/>
  <c r="B83" i="33"/>
  <c r="F82" i="33"/>
  <c r="E82" i="33"/>
  <c r="B82" i="33"/>
  <c r="F81" i="33"/>
  <c r="E81" i="33"/>
  <c r="B81" i="33"/>
  <c r="F80" i="33"/>
  <c r="E80" i="33"/>
  <c r="B80" i="33"/>
  <c r="F79" i="33"/>
  <c r="E79" i="33"/>
  <c r="B79" i="33"/>
  <c r="F78" i="33"/>
  <c r="E78" i="33"/>
  <c r="B78" i="33"/>
  <c r="F77" i="33"/>
  <c r="E77" i="33"/>
  <c r="B77" i="33"/>
  <c r="F76" i="33"/>
  <c r="E76" i="33"/>
  <c r="B76" i="33"/>
  <c r="F75" i="33"/>
  <c r="E75" i="33"/>
  <c r="B75" i="33"/>
  <c r="F74" i="33"/>
  <c r="E74" i="33"/>
  <c r="B74" i="33"/>
  <c r="F73" i="33"/>
  <c r="E73" i="33"/>
  <c r="B73" i="33"/>
  <c r="E71" i="33"/>
  <c r="F66" i="33"/>
  <c r="E66" i="33"/>
  <c r="B66" i="33"/>
  <c r="F65" i="33"/>
  <c r="E65" i="33"/>
  <c r="B65" i="33"/>
  <c r="F64" i="33"/>
  <c r="E64" i="33"/>
  <c r="B64" i="33"/>
  <c r="F63" i="33"/>
  <c r="E63" i="33"/>
  <c r="B63" i="33"/>
  <c r="F62" i="33"/>
  <c r="E62" i="33"/>
  <c r="B62" i="33"/>
  <c r="F61" i="33"/>
  <c r="E61" i="33"/>
  <c r="B61" i="33"/>
  <c r="F60" i="33"/>
  <c r="E60" i="33"/>
  <c r="B60" i="33"/>
  <c r="F59" i="33"/>
  <c r="E59" i="33"/>
  <c r="B59" i="33"/>
  <c r="F58" i="33"/>
  <c r="E58" i="33"/>
  <c r="B58" i="33"/>
  <c r="F57" i="33"/>
  <c r="E57" i="33"/>
  <c r="B57" i="33"/>
  <c r="F56" i="33"/>
  <c r="E56" i="33"/>
  <c r="B56" i="33"/>
  <c r="F55" i="33"/>
  <c r="E55" i="33"/>
  <c r="B55" i="33"/>
  <c r="F54" i="33"/>
  <c r="E54" i="33"/>
  <c r="B54" i="33"/>
  <c r="F53" i="33"/>
  <c r="E53" i="33"/>
  <c r="B53" i="33"/>
  <c r="F52" i="33"/>
  <c r="E52" i="33"/>
  <c r="B52" i="33"/>
  <c r="D51" i="33"/>
  <c r="C51" i="33"/>
  <c r="F51" i="33"/>
  <c r="E51" i="33"/>
  <c r="B51" i="33"/>
  <c r="D49" i="33"/>
  <c r="C49" i="33"/>
  <c r="E49" i="33"/>
  <c r="E41" i="33"/>
  <c r="C41" i="33"/>
  <c r="B41" i="33"/>
  <c r="E40" i="33"/>
  <c r="C40" i="33"/>
  <c r="B40" i="33"/>
  <c r="E39" i="33"/>
  <c r="C39" i="33"/>
  <c r="B39" i="33"/>
  <c r="E38" i="33"/>
  <c r="C38" i="33"/>
  <c r="B38" i="33"/>
  <c r="E37" i="33"/>
  <c r="C37" i="33"/>
  <c r="B37" i="33"/>
  <c r="E36" i="33"/>
  <c r="C36" i="33"/>
  <c r="B36" i="33"/>
  <c r="E35" i="33"/>
  <c r="C35" i="33"/>
  <c r="B35" i="33"/>
  <c r="E34" i="33"/>
  <c r="C34" i="33"/>
  <c r="B34" i="33"/>
  <c r="E33" i="33"/>
  <c r="C33" i="33"/>
  <c r="B33" i="33"/>
  <c r="E32" i="33"/>
  <c r="C32" i="33"/>
  <c r="B32" i="33"/>
  <c r="E31" i="33"/>
  <c r="C31" i="33"/>
  <c r="B31" i="33"/>
  <c r="E30" i="33"/>
  <c r="C30" i="33"/>
  <c r="B30" i="33"/>
  <c r="E29" i="33"/>
  <c r="C29" i="33"/>
  <c r="B29" i="33"/>
  <c r="E28" i="33"/>
  <c r="C28" i="33"/>
  <c r="B28" i="33"/>
  <c r="E27" i="33"/>
  <c r="C27" i="33"/>
  <c r="B27" i="33"/>
  <c r="D17" i="33"/>
  <c r="D16" i="33"/>
  <c r="E23" i="33"/>
  <c r="B23" i="33"/>
  <c r="D19" i="33"/>
  <c r="D9" i="33"/>
  <c r="D10" i="33"/>
  <c r="D12" i="33"/>
  <c r="AM254" i="32"/>
  <c r="AL254" i="32"/>
  <c r="AK254" i="32"/>
  <c r="AJ254" i="32"/>
  <c r="AI254" i="32"/>
  <c r="AH254" i="32"/>
  <c r="AG254" i="32"/>
  <c r="AF254" i="32"/>
  <c r="AE254" i="32"/>
  <c r="AD254" i="32"/>
  <c r="AC254" i="32"/>
  <c r="AB254" i="32"/>
  <c r="AA254" i="32"/>
  <c r="Z254" i="32"/>
  <c r="Y254" i="32"/>
  <c r="X254" i="32"/>
  <c r="W254" i="32"/>
  <c r="V254" i="32"/>
  <c r="U254" i="32"/>
  <c r="T254" i="32"/>
  <c r="S254" i="32"/>
  <c r="R254" i="32"/>
  <c r="Q254" i="32"/>
  <c r="P254" i="32"/>
  <c r="O254" i="32"/>
  <c r="N254" i="32"/>
  <c r="M254" i="32"/>
  <c r="L254" i="32"/>
  <c r="K254" i="32"/>
  <c r="J254" i="32"/>
  <c r="I254" i="32"/>
  <c r="C73" i="32"/>
  <c r="C85" i="32"/>
  <c r="C97" i="32"/>
  <c r="C109" i="32"/>
  <c r="C121" i="32"/>
  <c r="C133" i="32"/>
  <c r="C145" i="32"/>
  <c r="C157" i="32"/>
  <c r="C169" i="32"/>
  <c r="C181" i="32"/>
  <c r="C193" i="32"/>
  <c r="C205" i="32"/>
  <c r="C217" i="32"/>
  <c r="C229" i="32"/>
  <c r="C241" i="32"/>
  <c r="C71" i="32"/>
  <c r="C254" i="32"/>
  <c r="D73" i="32"/>
  <c r="D85" i="32"/>
  <c r="D97" i="32"/>
  <c r="D109" i="32"/>
  <c r="D121" i="32"/>
  <c r="D133" i="32"/>
  <c r="D145" i="32"/>
  <c r="D157" i="32"/>
  <c r="D169" i="32"/>
  <c r="D181" i="32"/>
  <c r="D193" i="32"/>
  <c r="D205" i="32"/>
  <c r="D217" i="32"/>
  <c r="D229" i="32"/>
  <c r="D241" i="32"/>
  <c r="D71" i="32"/>
  <c r="D254" i="32"/>
  <c r="E254" i="32"/>
  <c r="F251" i="32"/>
  <c r="E251" i="32"/>
  <c r="B251" i="32"/>
  <c r="F250" i="32"/>
  <c r="E250" i="32"/>
  <c r="B250" i="32"/>
  <c r="F249" i="32"/>
  <c r="E249" i="32"/>
  <c r="B249" i="32"/>
  <c r="F248" i="32"/>
  <c r="E248" i="32"/>
  <c r="B248" i="32"/>
  <c r="F247" i="32"/>
  <c r="E247" i="32"/>
  <c r="B247" i="32"/>
  <c r="F246" i="32"/>
  <c r="E246" i="32"/>
  <c r="B246" i="32"/>
  <c r="F245" i="32"/>
  <c r="E245" i="32"/>
  <c r="B245" i="32"/>
  <c r="F244" i="32"/>
  <c r="E244" i="32"/>
  <c r="B244" i="32"/>
  <c r="F243" i="32"/>
  <c r="E243" i="32"/>
  <c r="B243" i="32"/>
  <c r="F242" i="32"/>
  <c r="E242" i="32"/>
  <c r="B242" i="32"/>
  <c r="F241" i="32"/>
  <c r="E241" i="32"/>
  <c r="B241" i="32"/>
  <c r="F239" i="32"/>
  <c r="E239" i="32"/>
  <c r="B239" i="32"/>
  <c r="F238" i="32"/>
  <c r="E238" i="32"/>
  <c r="B238" i="32"/>
  <c r="F237" i="32"/>
  <c r="E237" i="32"/>
  <c r="B237" i="32"/>
  <c r="F236" i="32"/>
  <c r="E236" i="32"/>
  <c r="B236" i="32"/>
  <c r="F235" i="32"/>
  <c r="E235" i="32"/>
  <c r="B235" i="32"/>
  <c r="F234" i="32"/>
  <c r="E234" i="32"/>
  <c r="B234" i="32"/>
  <c r="F233" i="32"/>
  <c r="E233" i="32"/>
  <c r="B233" i="32"/>
  <c r="F232" i="32"/>
  <c r="E232" i="32"/>
  <c r="B232" i="32"/>
  <c r="F231" i="32"/>
  <c r="E231" i="32"/>
  <c r="B231" i="32"/>
  <c r="F230" i="32"/>
  <c r="E230" i="32"/>
  <c r="B230" i="32"/>
  <c r="F229" i="32"/>
  <c r="E229" i="32"/>
  <c r="B229" i="32"/>
  <c r="F227" i="32"/>
  <c r="E227" i="32"/>
  <c r="B227" i="32"/>
  <c r="F226" i="32"/>
  <c r="E226" i="32"/>
  <c r="B226" i="32"/>
  <c r="F225" i="32"/>
  <c r="E225" i="32"/>
  <c r="B225" i="32"/>
  <c r="F224" i="32"/>
  <c r="E224" i="32"/>
  <c r="B224" i="32"/>
  <c r="F223" i="32"/>
  <c r="E223" i="32"/>
  <c r="B223" i="32"/>
  <c r="F222" i="32"/>
  <c r="E222" i="32"/>
  <c r="B222" i="32"/>
  <c r="F221" i="32"/>
  <c r="E221" i="32"/>
  <c r="B221" i="32"/>
  <c r="F220" i="32"/>
  <c r="E220" i="32"/>
  <c r="B220" i="32"/>
  <c r="F219" i="32"/>
  <c r="E219" i="32"/>
  <c r="B219" i="32"/>
  <c r="F218" i="32"/>
  <c r="E218" i="32"/>
  <c r="B218" i="32"/>
  <c r="F217" i="32"/>
  <c r="E217" i="32"/>
  <c r="B217" i="32"/>
  <c r="F215" i="32"/>
  <c r="E215" i="32"/>
  <c r="B215" i="32"/>
  <c r="F214" i="32"/>
  <c r="E214" i="32"/>
  <c r="B214" i="32"/>
  <c r="F213" i="32"/>
  <c r="E213" i="32"/>
  <c r="B213" i="32"/>
  <c r="F212" i="32"/>
  <c r="E212" i="32"/>
  <c r="B212" i="32"/>
  <c r="F211" i="32"/>
  <c r="E211" i="32"/>
  <c r="B211" i="32"/>
  <c r="F210" i="32"/>
  <c r="E210" i="32"/>
  <c r="B210" i="32"/>
  <c r="F209" i="32"/>
  <c r="E209" i="32"/>
  <c r="B209" i="32"/>
  <c r="F208" i="32"/>
  <c r="E208" i="32"/>
  <c r="B208" i="32"/>
  <c r="F207" i="32"/>
  <c r="E207" i="32"/>
  <c r="B207" i="32"/>
  <c r="F206" i="32"/>
  <c r="E206" i="32"/>
  <c r="B206" i="32"/>
  <c r="F205" i="32"/>
  <c r="E205" i="32"/>
  <c r="B205" i="32"/>
  <c r="F203" i="32"/>
  <c r="E203" i="32"/>
  <c r="B203" i="32"/>
  <c r="F202" i="32"/>
  <c r="E202" i="32"/>
  <c r="B202" i="32"/>
  <c r="F201" i="32"/>
  <c r="E201" i="32"/>
  <c r="B201" i="32"/>
  <c r="F200" i="32"/>
  <c r="E200" i="32"/>
  <c r="B200" i="32"/>
  <c r="F199" i="32"/>
  <c r="E199" i="32"/>
  <c r="B199" i="32"/>
  <c r="F198" i="32"/>
  <c r="E198" i="32"/>
  <c r="B198" i="32"/>
  <c r="F197" i="32"/>
  <c r="E197" i="32"/>
  <c r="B197" i="32"/>
  <c r="F196" i="32"/>
  <c r="E196" i="32"/>
  <c r="B196" i="32"/>
  <c r="F195" i="32"/>
  <c r="E195" i="32"/>
  <c r="B195" i="32"/>
  <c r="F194" i="32"/>
  <c r="E194" i="32"/>
  <c r="B194" i="32"/>
  <c r="F193" i="32"/>
  <c r="E193" i="32"/>
  <c r="B193" i="32"/>
  <c r="F191" i="32"/>
  <c r="E191" i="32"/>
  <c r="B191" i="32"/>
  <c r="F190" i="32"/>
  <c r="E190" i="32"/>
  <c r="B190" i="32"/>
  <c r="F189" i="32"/>
  <c r="E189" i="32"/>
  <c r="B189" i="32"/>
  <c r="F188" i="32"/>
  <c r="E188" i="32"/>
  <c r="B188" i="32"/>
  <c r="F187" i="32"/>
  <c r="E187" i="32"/>
  <c r="B187" i="32"/>
  <c r="F186" i="32"/>
  <c r="E186" i="32"/>
  <c r="B186" i="32"/>
  <c r="F185" i="32"/>
  <c r="E185" i="32"/>
  <c r="B185" i="32"/>
  <c r="F184" i="32"/>
  <c r="E184" i="32"/>
  <c r="B184" i="32"/>
  <c r="F183" i="32"/>
  <c r="E183" i="32"/>
  <c r="B183" i="32"/>
  <c r="F182" i="32"/>
  <c r="E182" i="32"/>
  <c r="B182" i="32"/>
  <c r="F181" i="32"/>
  <c r="E181" i="32"/>
  <c r="B181" i="32"/>
  <c r="F179" i="32"/>
  <c r="E179" i="32"/>
  <c r="B179" i="32"/>
  <c r="F178" i="32"/>
  <c r="E178" i="32"/>
  <c r="B178" i="32"/>
  <c r="F177" i="32"/>
  <c r="E177" i="32"/>
  <c r="B177" i="32"/>
  <c r="F176" i="32"/>
  <c r="E176" i="32"/>
  <c r="B176" i="32"/>
  <c r="F175" i="32"/>
  <c r="E175" i="32"/>
  <c r="B175" i="32"/>
  <c r="F174" i="32"/>
  <c r="E174" i="32"/>
  <c r="B174" i="32"/>
  <c r="F173" i="32"/>
  <c r="E173" i="32"/>
  <c r="B173" i="32"/>
  <c r="F172" i="32"/>
  <c r="E172" i="32"/>
  <c r="B172" i="32"/>
  <c r="F171" i="32"/>
  <c r="E171" i="32"/>
  <c r="B171" i="32"/>
  <c r="F170" i="32"/>
  <c r="E170" i="32"/>
  <c r="B170" i="32"/>
  <c r="F169" i="32"/>
  <c r="E169" i="32"/>
  <c r="B169" i="32"/>
  <c r="F167" i="32"/>
  <c r="E167" i="32"/>
  <c r="B167" i="32"/>
  <c r="F166" i="32"/>
  <c r="E166" i="32"/>
  <c r="B166" i="32"/>
  <c r="F165" i="32"/>
  <c r="E165" i="32"/>
  <c r="B165" i="32"/>
  <c r="F164" i="32"/>
  <c r="E164" i="32"/>
  <c r="B164" i="32"/>
  <c r="F163" i="32"/>
  <c r="E163" i="32"/>
  <c r="B163" i="32"/>
  <c r="F162" i="32"/>
  <c r="E162" i="32"/>
  <c r="B162" i="32"/>
  <c r="F161" i="32"/>
  <c r="E161" i="32"/>
  <c r="B161" i="32"/>
  <c r="F160" i="32"/>
  <c r="E160" i="32"/>
  <c r="B160" i="32"/>
  <c r="F159" i="32"/>
  <c r="E159" i="32"/>
  <c r="B159" i="32"/>
  <c r="F158" i="32"/>
  <c r="E158" i="32"/>
  <c r="B158" i="32"/>
  <c r="F157" i="32"/>
  <c r="E157" i="32"/>
  <c r="B157" i="32"/>
  <c r="F155" i="32"/>
  <c r="E155" i="32"/>
  <c r="B155" i="32"/>
  <c r="F154" i="32"/>
  <c r="E154" i="32"/>
  <c r="B154" i="32"/>
  <c r="F153" i="32"/>
  <c r="E153" i="32"/>
  <c r="B153" i="32"/>
  <c r="F152" i="32"/>
  <c r="E152" i="32"/>
  <c r="B152" i="32"/>
  <c r="F151" i="32"/>
  <c r="E151" i="32"/>
  <c r="B151" i="32"/>
  <c r="F150" i="32"/>
  <c r="E150" i="32"/>
  <c r="B150" i="32"/>
  <c r="F149" i="32"/>
  <c r="E149" i="32"/>
  <c r="B149" i="32"/>
  <c r="F148" i="32"/>
  <c r="E148" i="32"/>
  <c r="B148" i="32"/>
  <c r="F147" i="32"/>
  <c r="E147" i="32"/>
  <c r="B147" i="32"/>
  <c r="F146" i="32"/>
  <c r="E146" i="32"/>
  <c r="B146" i="32"/>
  <c r="F145" i="32"/>
  <c r="E145" i="32"/>
  <c r="B145" i="32"/>
  <c r="F143" i="32"/>
  <c r="E143" i="32"/>
  <c r="B143" i="32"/>
  <c r="F142" i="32"/>
  <c r="E142" i="32"/>
  <c r="B142" i="32"/>
  <c r="F141" i="32"/>
  <c r="E141" i="32"/>
  <c r="B141" i="32"/>
  <c r="F140" i="32"/>
  <c r="E140" i="32"/>
  <c r="B140" i="32"/>
  <c r="F139" i="32"/>
  <c r="E139" i="32"/>
  <c r="B139" i="32"/>
  <c r="F138" i="32"/>
  <c r="E138" i="32"/>
  <c r="B138" i="32"/>
  <c r="F137" i="32"/>
  <c r="E137" i="32"/>
  <c r="B137" i="32"/>
  <c r="F136" i="32"/>
  <c r="E136" i="32"/>
  <c r="B136" i="32"/>
  <c r="F135" i="32"/>
  <c r="E135" i="32"/>
  <c r="B135" i="32"/>
  <c r="F134" i="32"/>
  <c r="E134" i="32"/>
  <c r="B134" i="32"/>
  <c r="F133" i="32"/>
  <c r="E133" i="32"/>
  <c r="B133" i="32"/>
  <c r="F131" i="32"/>
  <c r="E131" i="32"/>
  <c r="B131" i="32"/>
  <c r="F130" i="32"/>
  <c r="E130" i="32"/>
  <c r="B130" i="32"/>
  <c r="F129" i="32"/>
  <c r="E129" i="32"/>
  <c r="B129" i="32"/>
  <c r="F128" i="32"/>
  <c r="E128" i="32"/>
  <c r="B128" i="32"/>
  <c r="F127" i="32"/>
  <c r="E127" i="32"/>
  <c r="B127" i="32"/>
  <c r="F126" i="32"/>
  <c r="E126" i="32"/>
  <c r="B126" i="32"/>
  <c r="F125" i="32"/>
  <c r="E125" i="32"/>
  <c r="B125" i="32"/>
  <c r="F124" i="32"/>
  <c r="E124" i="32"/>
  <c r="B124" i="32"/>
  <c r="F123" i="32"/>
  <c r="E123" i="32"/>
  <c r="B123" i="32"/>
  <c r="F122" i="32"/>
  <c r="E122" i="32"/>
  <c r="B122" i="32"/>
  <c r="F121" i="32"/>
  <c r="E121" i="32"/>
  <c r="B121" i="32"/>
  <c r="F119" i="32"/>
  <c r="E119" i="32"/>
  <c r="B119" i="32"/>
  <c r="F118" i="32"/>
  <c r="E118" i="32"/>
  <c r="B118" i="32"/>
  <c r="F117" i="32"/>
  <c r="E117" i="32"/>
  <c r="B117" i="32"/>
  <c r="F116" i="32"/>
  <c r="E116" i="32"/>
  <c r="B116" i="32"/>
  <c r="F115" i="32"/>
  <c r="E115" i="32"/>
  <c r="B115" i="32"/>
  <c r="F114" i="32"/>
  <c r="E114" i="32"/>
  <c r="B114" i="32"/>
  <c r="F113" i="32"/>
  <c r="E113" i="32"/>
  <c r="B113" i="32"/>
  <c r="F112" i="32"/>
  <c r="E112" i="32"/>
  <c r="B112" i="32"/>
  <c r="F111" i="32"/>
  <c r="E111" i="32"/>
  <c r="B111" i="32"/>
  <c r="F110" i="32"/>
  <c r="E110" i="32"/>
  <c r="B110" i="32"/>
  <c r="F109" i="32"/>
  <c r="E109" i="32"/>
  <c r="B109" i="32"/>
  <c r="F107" i="32"/>
  <c r="E107" i="32"/>
  <c r="B107" i="32"/>
  <c r="F106" i="32"/>
  <c r="E106" i="32"/>
  <c r="B106" i="32"/>
  <c r="F105" i="32"/>
  <c r="E105" i="32"/>
  <c r="B105" i="32"/>
  <c r="F104" i="32"/>
  <c r="E104" i="32"/>
  <c r="B104" i="32"/>
  <c r="F103" i="32"/>
  <c r="E103" i="32"/>
  <c r="B103" i="32"/>
  <c r="F102" i="32"/>
  <c r="E102" i="32"/>
  <c r="B102" i="32"/>
  <c r="F101" i="32"/>
  <c r="E101" i="32"/>
  <c r="B101" i="32"/>
  <c r="F100" i="32"/>
  <c r="E100" i="32"/>
  <c r="B100" i="32"/>
  <c r="F99" i="32"/>
  <c r="E99" i="32"/>
  <c r="B99" i="32"/>
  <c r="F98" i="32"/>
  <c r="E98" i="32"/>
  <c r="B98" i="32"/>
  <c r="F97" i="32"/>
  <c r="E97" i="32"/>
  <c r="B97" i="32"/>
  <c r="F95" i="32"/>
  <c r="E95" i="32"/>
  <c r="B95" i="32"/>
  <c r="F94" i="32"/>
  <c r="E94" i="32"/>
  <c r="B94" i="32"/>
  <c r="F93" i="32"/>
  <c r="E93" i="32"/>
  <c r="B93" i="32"/>
  <c r="F92" i="32"/>
  <c r="E92" i="32"/>
  <c r="B92" i="32"/>
  <c r="F91" i="32"/>
  <c r="E91" i="32"/>
  <c r="B91" i="32"/>
  <c r="F90" i="32"/>
  <c r="E90" i="32"/>
  <c r="B90" i="32"/>
  <c r="F89" i="32"/>
  <c r="E89" i="32"/>
  <c r="B89" i="32"/>
  <c r="F88" i="32"/>
  <c r="E88" i="32"/>
  <c r="B88" i="32"/>
  <c r="F87" i="32"/>
  <c r="E87" i="32"/>
  <c r="B87" i="32"/>
  <c r="F86" i="32"/>
  <c r="E86" i="32"/>
  <c r="B86" i="32"/>
  <c r="F85" i="32"/>
  <c r="E85" i="32"/>
  <c r="B85" i="32"/>
  <c r="F83" i="32"/>
  <c r="E83" i="32"/>
  <c r="B83" i="32"/>
  <c r="F82" i="32"/>
  <c r="E82" i="32"/>
  <c r="B82" i="32"/>
  <c r="F81" i="32"/>
  <c r="E81" i="32"/>
  <c r="B81" i="32"/>
  <c r="F80" i="32"/>
  <c r="E80" i="32"/>
  <c r="B80" i="32"/>
  <c r="F79" i="32"/>
  <c r="E79" i="32"/>
  <c r="B79" i="32"/>
  <c r="F78" i="32"/>
  <c r="E78" i="32"/>
  <c r="B78" i="32"/>
  <c r="F77" i="32"/>
  <c r="E77" i="32"/>
  <c r="B77" i="32"/>
  <c r="F76" i="32"/>
  <c r="E76" i="32"/>
  <c r="B76" i="32"/>
  <c r="F75" i="32"/>
  <c r="E75" i="32"/>
  <c r="B75" i="32"/>
  <c r="F74" i="32"/>
  <c r="E74" i="32"/>
  <c r="B74" i="32"/>
  <c r="F73" i="32"/>
  <c r="E73" i="32"/>
  <c r="B73" i="32"/>
  <c r="AM71" i="32"/>
  <c r="AL71" i="32"/>
  <c r="AK71" i="32"/>
  <c r="AJ71" i="32"/>
  <c r="AI71" i="32"/>
  <c r="AH71" i="32"/>
  <c r="AG71" i="32"/>
  <c r="AF71" i="32"/>
  <c r="AE71" i="32"/>
  <c r="AD71" i="32"/>
  <c r="AC71" i="32"/>
  <c r="AB71" i="32"/>
  <c r="AA71" i="32"/>
  <c r="Z71" i="32"/>
  <c r="Y71" i="32"/>
  <c r="X71" i="32"/>
  <c r="W71" i="32"/>
  <c r="V71" i="32"/>
  <c r="U71" i="32"/>
  <c r="T71" i="32"/>
  <c r="S71" i="32"/>
  <c r="R71" i="32"/>
  <c r="Q71" i="32"/>
  <c r="P71" i="32"/>
  <c r="O71" i="32"/>
  <c r="N71" i="32"/>
  <c r="M71" i="32"/>
  <c r="L71" i="32"/>
  <c r="K71" i="32"/>
  <c r="J71" i="32"/>
  <c r="I71" i="32"/>
  <c r="E71" i="32"/>
  <c r="F66" i="32"/>
  <c r="E66" i="32"/>
  <c r="B66" i="32"/>
  <c r="F65" i="32"/>
  <c r="E65" i="32"/>
  <c r="B65" i="32"/>
  <c r="F64" i="32"/>
  <c r="E64" i="32"/>
  <c r="B64" i="32"/>
  <c r="F63" i="32"/>
  <c r="E63" i="32"/>
  <c r="B63" i="32"/>
  <c r="F62" i="32"/>
  <c r="E62" i="32"/>
  <c r="B62" i="32"/>
  <c r="F61" i="32"/>
  <c r="E61" i="32"/>
  <c r="B61" i="32"/>
  <c r="F60" i="32"/>
  <c r="E60" i="32"/>
  <c r="B60" i="32"/>
  <c r="F59" i="32"/>
  <c r="E59" i="32"/>
  <c r="B59" i="32"/>
  <c r="F58" i="32"/>
  <c r="E58" i="32"/>
  <c r="B58" i="32"/>
  <c r="F57" i="32"/>
  <c r="E57" i="32"/>
  <c r="B57" i="32"/>
  <c r="F56" i="32"/>
  <c r="E56" i="32"/>
  <c r="B56" i="32"/>
  <c r="F55" i="32"/>
  <c r="E55" i="32"/>
  <c r="B55" i="32"/>
  <c r="F54" i="32"/>
  <c r="E54" i="32"/>
  <c r="B54" i="32"/>
  <c r="F53" i="32"/>
  <c r="E53" i="32"/>
  <c r="B53" i="32"/>
  <c r="F52" i="32"/>
  <c r="E52" i="32"/>
  <c r="B52" i="32"/>
  <c r="D51" i="32"/>
  <c r="C51" i="32"/>
  <c r="F51" i="32"/>
  <c r="E51" i="32"/>
  <c r="B51" i="32"/>
  <c r="AM49" i="32"/>
  <c r="AL49" i="32"/>
  <c r="AK49" i="32"/>
  <c r="AJ49" i="32"/>
  <c r="AI49" i="32"/>
  <c r="AH49" i="32"/>
  <c r="AG49" i="32"/>
  <c r="AF49" i="32"/>
  <c r="AE49" i="32"/>
  <c r="AD49" i="32"/>
  <c r="AC49" i="32"/>
  <c r="AB49" i="32"/>
  <c r="AA49" i="32"/>
  <c r="Z49" i="32"/>
  <c r="Y49" i="32"/>
  <c r="X49" i="32"/>
  <c r="W49" i="32"/>
  <c r="V49" i="32"/>
  <c r="U49" i="32"/>
  <c r="T49" i="32"/>
  <c r="S49" i="32"/>
  <c r="R49" i="32"/>
  <c r="Q49" i="32"/>
  <c r="P49" i="32"/>
  <c r="O49" i="32"/>
  <c r="N49" i="32"/>
  <c r="M49" i="32"/>
  <c r="L49" i="32"/>
  <c r="K49" i="32"/>
  <c r="J49" i="32"/>
  <c r="I49" i="32"/>
  <c r="D49" i="32"/>
  <c r="C49" i="32"/>
  <c r="E49" i="32"/>
  <c r="E41" i="32"/>
  <c r="C41" i="32"/>
  <c r="B41" i="32"/>
  <c r="E40" i="32"/>
  <c r="C40" i="32"/>
  <c r="B40" i="32"/>
  <c r="E39" i="32"/>
  <c r="C39" i="32"/>
  <c r="B39" i="32"/>
  <c r="E38" i="32"/>
  <c r="C38" i="32"/>
  <c r="B38" i="32"/>
  <c r="E37" i="32"/>
  <c r="C37" i="32"/>
  <c r="B37" i="32"/>
  <c r="E36" i="32"/>
  <c r="C36" i="32"/>
  <c r="B36" i="32"/>
  <c r="E35" i="32"/>
  <c r="C35" i="32"/>
  <c r="B35" i="32"/>
  <c r="E34" i="32"/>
  <c r="C34" i="32"/>
  <c r="B34" i="32"/>
  <c r="E33" i="32"/>
  <c r="C33" i="32"/>
  <c r="B33" i="32"/>
  <c r="E32" i="32"/>
  <c r="C32" i="32"/>
  <c r="B32" i="32"/>
  <c r="E31" i="32"/>
  <c r="C31" i="32"/>
  <c r="B31" i="32"/>
  <c r="E30" i="32"/>
  <c r="C30" i="32"/>
  <c r="B30" i="32"/>
  <c r="E29" i="32"/>
  <c r="C29" i="32"/>
  <c r="B29" i="32"/>
  <c r="E28" i="32"/>
  <c r="C28" i="32"/>
  <c r="B28" i="32"/>
  <c r="E27" i="32"/>
  <c r="C27" i="32"/>
  <c r="B27" i="32"/>
  <c r="D17" i="32"/>
  <c r="D16" i="32"/>
  <c r="E23" i="32"/>
  <c r="B23" i="32"/>
  <c r="D19" i="32"/>
  <c r="D9" i="32"/>
  <c r="D10" i="32"/>
  <c r="D12" i="32"/>
  <c r="AM254" i="31"/>
  <c r="AL254" i="31"/>
  <c r="AK254" i="31"/>
  <c r="AJ254" i="31"/>
  <c r="AI254" i="31"/>
  <c r="AH254" i="31"/>
  <c r="AG254" i="31"/>
  <c r="AF254" i="31"/>
  <c r="AE254" i="31"/>
  <c r="AD254" i="31"/>
  <c r="AC254" i="31"/>
  <c r="AB254" i="31"/>
  <c r="AA254" i="31"/>
  <c r="Z254" i="31"/>
  <c r="Y254" i="31"/>
  <c r="X254" i="31"/>
  <c r="W254" i="31"/>
  <c r="V254" i="31"/>
  <c r="U254" i="31"/>
  <c r="T254" i="31"/>
  <c r="S254" i="31"/>
  <c r="R254" i="31"/>
  <c r="Q254" i="31"/>
  <c r="P254" i="31"/>
  <c r="O254" i="31"/>
  <c r="N254" i="31"/>
  <c r="M254" i="31"/>
  <c r="L254" i="31"/>
  <c r="K254" i="31"/>
  <c r="J254" i="31"/>
  <c r="I254" i="31"/>
  <c r="C73" i="31"/>
  <c r="C85" i="31"/>
  <c r="C97" i="31"/>
  <c r="C109" i="31"/>
  <c r="C121" i="31"/>
  <c r="C133" i="31"/>
  <c r="C145" i="31"/>
  <c r="C157" i="31"/>
  <c r="C169" i="31"/>
  <c r="C181" i="31"/>
  <c r="C193" i="31"/>
  <c r="C205" i="31"/>
  <c r="C217" i="31"/>
  <c r="C229" i="31"/>
  <c r="C241" i="31"/>
  <c r="C71" i="31"/>
  <c r="C254" i="31"/>
  <c r="D73" i="31"/>
  <c r="D85" i="31"/>
  <c r="D97" i="31"/>
  <c r="D109" i="31"/>
  <c r="D121" i="31"/>
  <c r="D133" i="31"/>
  <c r="D145" i="31"/>
  <c r="D157" i="31"/>
  <c r="D169" i="31"/>
  <c r="D181" i="31"/>
  <c r="D193" i="31"/>
  <c r="D205" i="31"/>
  <c r="D217" i="31"/>
  <c r="D229" i="31"/>
  <c r="D241" i="31"/>
  <c r="D71" i="31"/>
  <c r="D254" i="31"/>
  <c r="E254" i="31"/>
  <c r="F251" i="31"/>
  <c r="E251" i="31"/>
  <c r="B251" i="31"/>
  <c r="F250" i="31"/>
  <c r="E250" i="31"/>
  <c r="B250" i="31"/>
  <c r="F249" i="31"/>
  <c r="E249" i="31"/>
  <c r="B249" i="31"/>
  <c r="F248" i="31"/>
  <c r="E248" i="31"/>
  <c r="B248" i="31"/>
  <c r="F247" i="31"/>
  <c r="E247" i="31"/>
  <c r="B247" i="31"/>
  <c r="F246" i="31"/>
  <c r="E246" i="31"/>
  <c r="B246" i="31"/>
  <c r="F245" i="31"/>
  <c r="E245" i="31"/>
  <c r="B245" i="31"/>
  <c r="F244" i="31"/>
  <c r="E244" i="31"/>
  <c r="B244" i="31"/>
  <c r="F243" i="31"/>
  <c r="E243" i="31"/>
  <c r="B243" i="31"/>
  <c r="F242" i="31"/>
  <c r="E242" i="31"/>
  <c r="B242" i="31"/>
  <c r="F241" i="31"/>
  <c r="E241" i="31"/>
  <c r="B241" i="31"/>
  <c r="F239" i="31"/>
  <c r="E239" i="31"/>
  <c r="B239" i="31"/>
  <c r="F238" i="31"/>
  <c r="E238" i="31"/>
  <c r="B238" i="31"/>
  <c r="F237" i="31"/>
  <c r="E237" i="31"/>
  <c r="B237" i="31"/>
  <c r="F236" i="31"/>
  <c r="E236" i="31"/>
  <c r="B236" i="31"/>
  <c r="F235" i="31"/>
  <c r="E235" i="31"/>
  <c r="B235" i="31"/>
  <c r="F234" i="31"/>
  <c r="E234" i="31"/>
  <c r="B234" i="31"/>
  <c r="F233" i="31"/>
  <c r="E233" i="31"/>
  <c r="B233" i="31"/>
  <c r="F232" i="31"/>
  <c r="E232" i="31"/>
  <c r="B232" i="31"/>
  <c r="F231" i="31"/>
  <c r="E231" i="31"/>
  <c r="B231" i="31"/>
  <c r="F230" i="31"/>
  <c r="E230" i="31"/>
  <c r="B230" i="31"/>
  <c r="F229" i="31"/>
  <c r="E229" i="31"/>
  <c r="B229" i="31"/>
  <c r="F227" i="31"/>
  <c r="E227" i="31"/>
  <c r="B227" i="31"/>
  <c r="F226" i="31"/>
  <c r="E226" i="31"/>
  <c r="B226" i="31"/>
  <c r="F225" i="31"/>
  <c r="E225" i="31"/>
  <c r="B225" i="31"/>
  <c r="F224" i="31"/>
  <c r="E224" i="31"/>
  <c r="B224" i="31"/>
  <c r="F223" i="31"/>
  <c r="E223" i="31"/>
  <c r="B223" i="31"/>
  <c r="F222" i="31"/>
  <c r="E222" i="31"/>
  <c r="B222" i="31"/>
  <c r="F221" i="31"/>
  <c r="E221" i="31"/>
  <c r="B221" i="31"/>
  <c r="F220" i="31"/>
  <c r="E220" i="31"/>
  <c r="B220" i="31"/>
  <c r="F219" i="31"/>
  <c r="E219" i="31"/>
  <c r="B219" i="31"/>
  <c r="F218" i="31"/>
  <c r="E218" i="31"/>
  <c r="B218" i="31"/>
  <c r="F217" i="31"/>
  <c r="E217" i="31"/>
  <c r="B217" i="31"/>
  <c r="F215" i="31"/>
  <c r="E215" i="31"/>
  <c r="B215" i="31"/>
  <c r="F214" i="31"/>
  <c r="E214" i="31"/>
  <c r="B214" i="31"/>
  <c r="F213" i="31"/>
  <c r="E213" i="31"/>
  <c r="B213" i="31"/>
  <c r="F212" i="31"/>
  <c r="E212" i="31"/>
  <c r="B212" i="31"/>
  <c r="F211" i="31"/>
  <c r="E211" i="31"/>
  <c r="B211" i="31"/>
  <c r="F210" i="31"/>
  <c r="E210" i="31"/>
  <c r="B210" i="31"/>
  <c r="F209" i="31"/>
  <c r="E209" i="31"/>
  <c r="B209" i="31"/>
  <c r="F208" i="31"/>
  <c r="E208" i="31"/>
  <c r="B208" i="31"/>
  <c r="F207" i="31"/>
  <c r="E207" i="31"/>
  <c r="B207" i="31"/>
  <c r="F206" i="31"/>
  <c r="E206" i="31"/>
  <c r="B206" i="31"/>
  <c r="F205" i="31"/>
  <c r="E205" i="31"/>
  <c r="B205" i="31"/>
  <c r="F203" i="31"/>
  <c r="E203" i="31"/>
  <c r="B203" i="31"/>
  <c r="F202" i="31"/>
  <c r="E202" i="31"/>
  <c r="B202" i="31"/>
  <c r="F201" i="31"/>
  <c r="E201" i="31"/>
  <c r="B201" i="31"/>
  <c r="F200" i="31"/>
  <c r="E200" i="31"/>
  <c r="B200" i="31"/>
  <c r="F199" i="31"/>
  <c r="E199" i="31"/>
  <c r="B199" i="31"/>
  <c r="F198" i="31"/>
  <c r="E198" i="31"/>
  <c r="B198" i="31"/>
  <c r="F197" i="31"/>
  <c r="E197" i="31"/>
  <c r="B197" i="31"/>
  <c r="F196" i="31"/>
  <c r="E196" i="31"/>
  <c r="B196" i="31"/>
  <c r="F195" i="31"/>
  <c r="E195" i="31"/>
  <c r="B195" i="31"/>
  <c r="F194" i="31"/>
  <c r="E194" i="31"/>
  <c r="B194" i="31"/>
  <c r="F193" i="31"/>
  <c r="E193" i="31"/>
  <c r="B193" i="31"/>
  <c r="F191" i="31"/>
  <c r="E191" i="31"/>
  <c r="B191" i="31"/>
  <c r="F190" i="31"/>
  <c r="E190" i="31"/>
  <c r="B190" i="31"/>
  <c r="F189" i="31"/>
  <c r="E189" i="31"/>
  <c r="B189" i="31"/>
  <c r="F188" i="31"/>
  <c r="E188" i="31"/>
  <c r="B188" i="31"/>
  <c r="F187" i="31"/>
  <c r="E187" i="31"/>
  <c r="B187" i="31"/>
  <c r="F186" i="31"/>
  <c r="E186" i="31"/>
  <c r="B186" i="31"/>
  <c r="F185" i="31"/>
  <c r="E185" i="31"/>
  <c r="B185" i="31"/>
  <c r="F184" i="31"/>
  <c r="E184" i="31"/>
  <c r="B184" i="31"/>
  <c r="F183" i="31"/>
  <c r="E183" i="31"/>
  <c r="B183" i="31"/>
  <c r="F182" i="31"/>
  <c r="E182" i="31"/>
  <c r="B182" i="31"/>
  <c r="F181" i="31"/>
  <c r="E181" i="31"/>
  <c r="B181" i="31"/>
  <c r="F179" i="31"/>
  <c r="E179" i="31"/>
  <c r="B179" i="31"/>
  <c r="F178" i="31"/>
  <c r="E178" i="31"/>
  <c r="B178" i="31"/>
  <c r="F177" i="31"/>
  <c r="E177" i="31"/>
  <c r="B177" i="31"/>
  <c r="F176" i="31"/>
  <c r="E176" i="31"/>
  <c r="B176" i="31"/>
  <c r="F175" i="31"/>
  <c r="E175" i="31"/>
  <c r="B175" i="31"/>
  <c r="F174" i="31"/>
  <c r="E174" i="31"/>
  <c r="B174" i="31"/>
  <c r="F173" i="31"/>
  <c r="E173" i="31"/>
  <c r="B173" i="31"/>
  <c r="F172" i="31"/>
  <c r="E172" i="31"/>
  <c r="B172" i="31"/>
  <c r="F171" i="31"/>
  <c r="E171" i="31"/>
  <c r="B171" i="31"/>
  <c r="F170" i="31"/>
  <c r="E170" i="31"/>
  <c r="B170" i="31"/>
  <c r="F169" i="31"/>
  <c r="E169" i="31"/>
  <c r="B169" i="31"/>
  <c r="F167" i="31"/>
  <c r="E167" i="31"/>
  <c r="B167" i="31"/>
  <c r="F166" i="31"/>
  <c r="E166" i="31"/>
  <c r="B166" i="31"/>
  <c r="F165" i="31"/>
  <c r="E165" i="31"/>
  <c r="B165" i="31"/>
  <c r="F164" i="31"/>
  <c r="E164" i="31"/>
  <c r="B164" i="31"/>
  <c r="F163" i="31"/>
  <c r="E163" i="31"/>
  <c r="B163" i="31"/>
  <c r="F162" i="31"/>
  <c r="E162" i="31"/>
  <c r="B162" i="31"/>
  <c r="F161" i="31"/>
  <c r="E161" i="31"/>
  <c r="B161" i="31"/>
  <c r="F160" i="31"/>
  <c r="E160" i="31"/>
  <c r="B160" i="31"/>
  <c r="F159" i="31"/>
  <c r="E159" i="31"/>
  <c r="B159" i="31"/>
  <c r="F158" i="31"/>
  <c r="E158" i="31"/>
  <c r="B158" i="31"/>
  <c r="F157" i="31"/>
  <c r="E157" i="31"/>
  <c r="B157" i="31"/>
  <c r="F155" i="31"/>
  <c r="E155" i="31"/>
  <c r="B155" i="31"/>
  <c r="F154" i="31"/>
  <c r="E154" i="31"/>
  <c r="B154" i="31"/>
  <c r="F153" i="31"/>
  <c r="E153" i="31"/>
  <c r="B153" i="31"/>
  <c r="F152" i="31"/>
  <c r="E152" i="31"/>
  <c r="B152" i="31"/>
  <c r="F151" i="31"/>
  <c r="E151" i="31"/>
  <c r="B151" i="31"/>
  <c r="F150" i="31"/>
  <c r="E150" i="31"/>
  <c r="B150" i="31"/>
  <c r="F149" i="31"/>
  <c r="E149" i="31"/>
  <c r="B149" i="31"/>
  <c r="F148" i="31"/>
  <c r="E148" i="31"/>
  <c r="B148" i="31"/>
  <c r="F147" i="31"/>
  <c r="E147" i="31"/>
  <c r="B147" i="31"/>
  <c r="F146" i="31"/>
  <c r="E146" i="31"/>
  <c r="B146" i="31"/>
  <c r="F145" i="31"/>
  <c r="E145" i="31"/>
  <c r="B145" i="31"/>
  <c r="F143" i="31"/>
  <c r="E143" i="31"/>
  <c r="B143" i="31"/>
  <c r="F142" i="31"/>
  <c r="E142" i="31"/>
  <c r="B142" i="31"/>
  <c r="F141" i="31"/>
  <c r="E141" i="31"/>
  <c r="B141" i="31"/>
  <c r="F140" i="31"/>
  <c r="E140" i="31"/>
  <c r="B140" i="31"/>
  <c r="F139" i="31"/>
  <c r="E139" i="31"/>
  <c r="B139" i="31"/>
  <c r="F138" i="31"/>
  <c r="E138" i="31"/>
  <c r="B138" i="31"/>
  <c r="F137" i="31"/>
  <c r="E137" i="31"/>
  <c r="B137" i="31"/>
  <c r="F136" i="31"/>
  <c r="E136" i="31"/>
  <c r="B136" i="31"/>
  <c r="F135" i="31"/>
  <c r="E135" i="31"/>
  <c r="B135" i="31"/>
  <c r="F134" i="31"/>
  <c r="E134" i="31"/>
  <c r="B134" i="31"/>
  <c r="F133" i="31"/>
  <c r="E133" i="31"/>
  <c r="B133" i="31"/>
  <c r="F131" i="31"/>
  <c r="E131" i="31"/>
  <c r="B131" i="31"/>
  <c r="F130" i="31"/>
  <c r="E130" i="31"/>
  <c r="B130" i="31"/>
  <c r="F129" i="31"/>
  <c r="E129" i="31"/>
  <c r="B129" i="31"/>
  <c r="F128" i="31"/>
  <c r="E128" i="31"/>
  <c r="B128" i="31"/>
  <c r="F127" i="31"/>
  <c r="E127" i="31"/>
  <c r="B127" i="31"/>
  <c r="F126" i="31"/>
  <c r="E126" i="31"/>
  <c r="B126" i="31"/>
  <c r="F125" i="31"/>
  <c r="E125" i="31"/>
  <c r="B125" i="31"/>
  <c r="F124" i="31"/>
  <c r="E124" i="31"/>
  <c r="B124" i="31"/>
  <c r="F123" i="31"/>
  <c r="E123" i="31"/>
  <c r="B123" i="31"/>
  <c r="F122" i="31"/>
  <c r="E122" i="31"/>
  <c r="B122" i="31"/>
  <c r="F121" i="31"/>
  <c r="E121" i="31"/>
  <c r="B121" i="31"/>
  <c r="F119" i="31"/>
  <c r="E119" i="31"/>
  <c r="B119" i="31"/>
  <c r="F118" i="31"/>
  <c r="E118" i="31"/>
  <c r="B118" i="31"/>
  <c r="F117" i="31"/>
  <c r="E117" i="31"/>
  <c r="B117" i="31"/>
  <c r="F116" i="31"/>
  <c r="E116" i="31"/>
  <c r="B116" i="31"/>
  <c r="F115" i="31"/>
  <c r="E115" i="31"/>
  <c r="B115" i="31"/>
  <c r="F114" i="31"/>
  <c r="E114" i="31"/>
  <c r="B114" i="31"/>
  <c r="F113" i="31"/>
  <c r="E113" i="31"/>
  <c r="B113" i="31"/>
  <c r="F112" i="31"/>
  <c r="E112" i="31"/>
  <c r="B112" i="31"/>
  <c r="F111" i="31"/>
  <c r="E111" i="31"/>
  <c r="B111" i="31"/>
  <c r="F110" i="31"/>
  <c r="E110" i="31"/>
  <c r="B110" i="31"/>
  <c r="F109" i="31"/>
  <c r="E109" i="31"/>
  <c r="B109" i="31"/>
  <c r="F107" i="31"/>
  <c r="E107" i="31"/>
  <c r="B107" i="31"/>
  <c r="F106" i="31"/>
  <c r="E106" i="31"/>
  <c r="B106" i="31"/>
  <c r="F105" i="31"/>
  <c r="E105" i="31"/>
  <c r="B105" i="31"/>
  <c r="F104" i="31"/>
  <c r="E104" i="31"/>
  <c r="B104" i="31"/>
  <c r="F103" i="31"/>
  <c r="E103" i="31"/>
  <c r="B103" i="31"/>
  <c r="F102" i="31"/>
  <c r="E102" i="31"/>
  <c r="B102" i="31"/>
  <c r="F101" i="31"/>
  <c r="E101" i="31"/>
  <c r="B101" i="31"/>
  <c r="F100" i="31"/>
  <c r="E100" i="31"/>
  <c r="B100" i="31"/>
  <c r="F99" i="31"/>
  <c r="E99" i="31"/>
  <c r="B99" i="31"/>
  <c r="F98" i="31"/>
  <c r="E98" i="31"/>
  <c r="B98" i="31"/>
  <c r="F97" i="31"/>
  <c r="E97" i="31"/>
  <c r="B97" i="31"/>
  <c r="F95" i="31"/>
  <c r="E95" i="31"/>
  <c r="B95" i="31"/>
  <c r="F94" i="31"/>
  <c r="E94" i="31"/>
  <c r="B94" i="31"/>
  <c r="F93" i="31"/>
  <c r="E93" i="31"/>
  <c r="B93" i="31"/>
  <c r="F92" i="31"/>
  <c r="E92" i="31"/>
  <c r="B92" i="31"/>
  <c r="F91" i="31"/>
  <c r="E91" i="31"/>
  <c r="B91" i="31"/>
  <c r="F90" i="31"/>
  <c r="E90" i="31"/>
  <c r="B90" i="31"/>
  <c r="F89" i="31"/>
  <c r="E89" i="31"/>
  <c r="B89" i="31"/>
  <c r="F88" i="31"/>
  <c r="E88" i="31"/>
  <c r="B88" i="31"/>
  <c r="F87" i="31"/>
  <c r="E87" i="31"/>
  <c r="B87" i="31"/>
  <c r="F86" i="31"/>
  <c r="E86" i="31"/>
  <c r="B86" i="31"/>
  <c r="F85" i="31"/>
  <c r="E85" i="31"/>
  <c r="B85" i="31"/>
  <c r="F83" i="31"/>
  <c r="E83" i="31"/>
  <c r="B83" i="31"/>
  <c r="F82" i="31"/>
  <c r="E82" i="31"/>
  <c r="B82" i="31"/>
  <c r="F81" i="31"/>
  <c r="E81" i="31"/>
  <c r="B81" i="31"/>
  <c r="F80" i="31"/>
  <c r="E80" i="31"/>
  <c r="B80" i="31"/>
  <c r="F79" i="31"/>
  <c r="E79" i="31"/>
  <c r="B79" i="31"/>
  <c r="F78" i="31"/>
  <c r="E78" i="31"/>
  <c r="B78" i="31"/>
  <c r="F77" i="31"/>
  <c r="E77" i="31"/>
  <c r="B77" i="31"/>
  <c r="F76" i="31"/>
  <c r="E76" i="31"/>
  <c r="B76" i="31"/>
  <c r="F75" i="31"/>
  <c r="E75" i="31"/>
  <c r="B75" i="31"/>
  <c r="F74" i="31"/>
  <c r="E74" i="31"/>
  <c r="B74" i="31"/>
  <c r="F73" i="31"/>
  <c r="E73" i="31"/>
  <c r="B73" i="31"/>
  <c r="AM71" i="31"/>
  <c r="AL71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O71" i="31"/>
  <c r="N71" i="31"/>
  <c r="M71" i="31"/>
  <c r="L71" i="31"/>
  <c r="K71" i="31"/>
  <c r="J71" i="31"/>
  <c r="I71" i="31"/>
  <c r="E71" i="31"/>
  <c r="F66" i="31"/>
  <c r="E66" i="31"/>
  <c r="B66" i="31"/>
  <c r="F65" i="31"/>
  <c r="E65" i="31"/>
  <c r="B65" i="31"/>
  <c r="F64" i="31"/>
  <c r="E64" i="31"/>
  <c r="B64" i="31"/>
  <c r="F63" i="31"/>
  <c r="E63" i="31"/>
  <c r="B63" i="31"/>
  <c r="F62" i="31"/>
  <c r="E62" i="31"/>
  <c r="B62" i="31"/>
  <c r="F61" i="31"/>
  <c r="E61" i="31"/>
  <c r="B61" i="31"/>
  <c r="F60" i="31"/>
  <c r="E60" i="31"/>
  <c r="B60" i="31"/>
  <c r="F59" i="31"/>
  <c r="E59" i="31"/>
  <c r="B59" i="31"/>
  <c r="F58" i="31"/>
  <c r="E58" i="31"/>
  <c r="B58" i="31"/>
  <c r="F57" i="31"/>
  <c r="E57" i="31"/>
  <c r="B57" i="31"/>
  <c r="F56" i="31"/>
  <c r="E56" i="31"/>
  <c r="B56" i="31"/>
  <c r="F55" i="31"/>
  <c r="E55" i="31"/>
  <c r="B55" i="31"/>
  <c r="F54" i="31"/>
  <c r="E54" i="31"/>
  <c r="B54" i="31"/>
  <c r="F53" i="31"/>
  <c r="E53" i="31"/>
  <c r="B53" i="31"/>
  <c r="F52" i="31"/>
  <c r="E52" i="31"/>
  <c r="B52" i="31"/>
  <c r="D51" i="31"/>
  <c r="C51" i="31"/>
  <c r="F51" i="31"/>
  <c r="E51" i="31"/>
  <c r="B51" i="31"/>
  <c r="AM49" i="31"/>
  <c r="AL49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O49" i="31"/>
  <c r="N49" i="31"/>
  <c r="M49" i="31"/>
  <c r="L49" i="31"/>
  <c r="K49" i="31"/>
  <c r="J49" i="31"/>
  <c r="I49" i="31"/>
  <c r="D49" i="31"/>
  <c r="C49" i="31"/>
  <c r="E49" i="31"/>
  <c r="E41" i="31"/>
  <c r="C41" i="31"/>
  <c r="B41" i="31"/>
  <c r="E40" i="31"/>
  <c r="C40" i="31"/>
  <c r="B40" i="31"/>
  <c r="E39" i="31"/>
  <c r="C39" i="31"/>
  <c r="B39" i="31"/>
  <c r="E38" i="31"/>
  <c r="C38" i="31"/>
  <c r="B38" i="31"/>
  <c r="E37" i="31"/>
  <c r="C37" i="31"/>
  <c r="B37" i="31"/>
  <c r="E36" i="31"/>
  <c r="C36" i="31"/>
  <c r="B36" i="31"/>
  <c r="E35" i="31"/>
  <c r="C35" i="31"/>
  <c r="B35" i="31"/>
  <c r="E34" i="31"/>
  <c r="C34" i="31"/>
  <c r="B34" i="31"/>
  <c r="E33" i="31"/>
  <c r="C33" i="31"/>
  <c r="B33" i="31"/>
  <c r="E32" i="31"/>
  <c r="C32" i="31"/>
  <c r="B32" i="31"/>
  <c r="E31" i="31"/>
  <c r="C31" i="31"/>
  <c r="B31" i="31"/>
  <c r="E30" i="31"/>
  <c r="C30" i="31"/>
  <c r="B30" i="31"/>
  <c r="E29" i="31"/>
  <c r="C29" i="31"/>
  <c r="B29" i="31"/>
  <c r="E28" i="31"/>
  <c r="C28" i="31"/>
  <c r="B28" i="31"/>
  <c r="E27" i="31"/>
  <c r="C27" i="31"/>
  <c r="B27" i="31"/>
  <c r="D17" i="31"/>
  <c r="D16" i="31"/>
  <c r="E23" i="31"/>
  <c r="B23" i="31"/>
  <c r="D19" i="31"/>
  <c r="D9" i="31"/>
  <c r="D10" i="31"/>
  <c r="D12" i="31"/>
  <c r="AM254" i="30"/>
  <c r="AL254" i="30"/>
  <c r="AK254" i="30"/>
  <c r="AJ254" i="30"/>
  <c r="AI254" i="30"/>
  <c r="AH254" i="30"/>
  <c r="AG254" i="30"/>
  <c r="AF254" i="30"/>
  <c r="AE254" i="30"/>
  <c r="AD254" i="30"/>
  <c r="AC254" i="30"/>
  <c r="AB254" i="30"/>
  <c r="AA254" i="30"/>
  <c r="Z254" i="30"/>
  <c r="Y254" i="30"/>
  <c r="X254" i="30"/>
  <c r="W254" i="30"/>
  <c r="V254" i="30"/>
  <c r="U254" i="30"/>
  <c r="T254" i="30"/>
  <c r="S254" i="30"/>
  <c r="R254" i="30"/>
  <c r="Q254" i="30"/>
  <c r="P254" i="30"/>
  <c r="O254" i="30"/>
  <c r="N254" i="30"/>
  <c r="M254" i="30"/>
  <c r="L254" i="30"/>
  <c r="K254" i="30"/>
  <c r="J254" i="30"/>
  <c r="I254" i="30"/>
  <c r="C73" i="30"/>
  <c r="C85" i="30"/>
  <c r="C97" i="30"/>
  <c r="C109" i="30"/>
  <c r="C121" i="30"/>
  <c r="C133" i="30"/>
  <c r="C145" i="30"/>
  <c r="C157" i="30"/>
  <c r="C169" i="30"/>
  <c r="C181" i="30"/>
  <c r="C193" i="30"/>
  <c r="C205" i="30"/>
  <c r="C217" i="30"/>
  <c r="C229" i="30"/>
  <c r="C241" i="30"/>
  <c r="C71" i="30"/>
  <c r="C254" i="30"/>
  <c r="D73" i="30"/>
  <c r="D85" i="30"/>
  <c r="D97" i="30"/>
  <c r="D109" i="30"/>
  <c r="D121" i="30"/>
  <c r="D133" i="30"/>
  <c r="D145" i="30"/>
  <c r="D157" i="30"/>
  <c r="D169" i="30"/>
  <c r="D181" i="30"/>
  <c r="D193" i="30"/>
  <c r="D205" i="30"/>
  <c r="D217" i="30"/>
  <c r="D229" i="30"/>
  <c r="D241" i="30"/>
  <c r="D71" i="30"/>
  <c r="D254" i="30"/>
  <c r="E254" i="30"/>
  <c r="F251" i="30"/>
  <c r="E251" i="30"/>
  <c r="B251" i="30"/>
  <c r="F250" i="30"/>
  <c r="E250" i="30"/>
  <c r="B250" i="30"/>
  <c r="F249" i="30"/>
  <c r="E249" i="30"/>
  <c r="B249" i="30"/>
  <c r="F248" i="30"/>
  <c r="E248" i="30"/>
  <c r="B248" i="30"/>
  <c r="F247" i="30"/>
  <c r="E247" i="30"/>
  <c r="B247" i="30"/>
  <c r="F246" i="30"/>
  <c r="E246" i="30"/>
  <c r="B246" i="30"/>
  <c r="F245" i="30"/>
  <c r="E245" i="30"/>
  <c r="B245" i="30"/>
  <c r="F244" i="30"/>
  <c r="E244" i="30"/>
  <c r="B244" i="30"/>
  <c r="F243" i="30"/>
  <c r="E243" i="30"/>
  <c r="B243" i="30"/>
  <c r="F242" i="30"/>
  <c r="E242" i="30"/>
  <c r="B242" i="30"/>
  <c r="F241" i="30"/>
  <c r="E241" i="30"/>
  <c r="B241" i="30"/>
  <c r="F239" i="30"/>
  <c r="E239" i="30"/>
  <c r="B239" i="30"/>
  <c r="F238" i="30"/>
  <c r="E238" i="30"/>
  <c r="B238" i="30"/>
  <c r="F237" i="30"/>
  <c r="E237" i="30"/>
  <c r="B237" i="30"/>
  <c r="F236" i="30"/>
  <c r="E236" i="30"/>
  <c r="B236" i="30"/>
  <c r="F235" i="30"/>
  <c r="E235" i="30"/>
  <c r="B235" i="30"/>
  <c r="F234" i="30"/>
  <c r="E234" i="30"/>
  <c r="B234" i="30"/>
  <c r="F233" i="30"/>
  <c r="E233" i="30"/>
  <c r="B233" i="30"/>
  <c r="F232" i="30"/>
  <c r="E232" i="30"/>
  <c r="B232" i="30"/>
  <c r="F231" i="30"/>
  <c r="E231" i="30"/>
  <c r="B231" i="30"/>
  <c r="F230" i="30"/>
  <c r="E230" i="30"/>
  <c r="B230" i="30"/>
  <c r="F229" i="30"/>
  <c r="E229" i="30"/>
  <c r="B229" i="30"/>
  <c r="F227" i="30"/>
  <c r="E227" i="30"/>
  <c r="B227" i="30"/>
  <c r="F226" i="30"/>
  <c r="E226" i="30"/>
  <c r="B226" i="30"/>
  <c r="F225" i="30"/>
  <c r="E225" i="30"/>
  <c r="B225" i="30"/>
  <c r="F224" i="30"/>
  <c r="E224" i="30"/>
  <c r="B224" i="30"/>
  <c r="F223" i="30"/>
  <c r="E223" i="30"/>
  <c r="B223" i="30"/>
  <c r="F222" i="30"/>
  <c r="E222" i="30"/>
  <c r="B222" i="30"/>
  <c r="F221" i="30"/>
  <c r="E221" i="30"/>
  <c r="B221" i="30"/>
  <c r="F220" i="30"/>
  <c r="E220" i="30"/>
  <c r="B220" i="30"/>
  <c r="F219" i="30"/>
  <c r="E219" i="30"/>
  <c r="B219" i="30"/>
  <c r="F218" i="30"/>
  <c r="E218" i="30"/>
  <c r="B218" i="30"/>
  <c r="F217" i="30"/>
  <c r="E217" i="30"/>
  <c r="B217" i="30"/>
  <c r="F215" i="30"/>
  <c r="E215" i="30"/>
  <c r="B215" i="30"/>
  <c r="F214" i="30"/>
  <c r="E214" i="30"/>
  <c r="B214" i="30"/>
  <c r="F213" i="30"/>
  <c r="E213" i="30"/>
  <c r="B213" i="30"/>
  <c r="F212" i="30"/>
  <c r="E212" i="30"/>
  <c r="B212" i="30"/>
  <c r="F211" i="30"/>
  <c r="E211" i="30"/>
  <c r="B211" i="30"/>
  <c r="F210" i="30"/>
  <c r="E210" i="30"/>
  <c r="B210" i="30"/>
  <c r="F209" i="30"/>
  <c r="E209" i="30"/>
  <c r="B209" i="30"/>
  <c r="F208" i="30"/>
  <c r="E208" i="30"/>
  <c r="B208" i="30"/>
  <c r="F207" i="30"/>
  <c r="E207" i="30"/>
  <c r="B207" i="30"/>
  <c r="F206" i="30"/>
  <c r="E206" i="30"/>
  <c r="B206" i="30"/>
  <c r="F205" i="30"/>
  <c r="E205" i="30"/>
  <c r="B205" i="30"/>
  <c r="F203" i="30"/>
  <c r="E203" i="30"/>
  <c r="B203" i="30"/>
  <c r="F202" i="30"/>
  <c r="E202" i="30"/>
  <c r="B202" i="30"/>
  <c r="F201" i="30"/>
  <c r="E201" i="30"/>
  <c r="B201" i="30"/>
  <c r="F200" i="30"/>
  <c r="E200" i="30"/>
  <c r="B200" i="30"/>
  <c r="F199" i="30"/>
  <c r="E199" i="30"/>
  <c r="B199" i="30"/>
  <c r="F198" i="30"/>
  <c r="E198" i="30"/>
  <c r="B198" i="30"/>
  <c r="F197" i="30"/>
  <c r="E197" i="30"/>
  <c r="B197" i="30"/>
  <c r="F196" i="30"/>
  <c r="E196" i="30"/>
  <c r="B196" i="30"/>
  <c r="F195" i="30"/>
  <c r="E195" i="30"/>
  <c r="B195" i="30"/>
  <c r="F194" i="30"/>
  <c r="E194" i="30"/>
  <c r="B194" i="30"/>
  <c r="F193" i="30"/>
  <c r="E193" i="30"/>
  <c r="B193" i="30"/>
  <c r="F191" i="30"/>
  <c r="E191" i="30"/>
  <c r="B191" i="30"/>
  <c r="F190" i="30"/>
  <c r="E190" i="30"/>
  <c r="B190" i="30"/>
  <c r="F189" i="30"/>
  <c r="E189" i="30"/>
  <c r="B189" i="30"/>
  <c r="F188" i="30"/>
  <c r="E188" i="30"/>
  <c r="B188" i="30"/>
  <c r="F187" i="30"/>
  <c r="E187" i="30"/>
  <c r="B187" i="30"/>
  <c r="F186" i="30"/>
  <c r="E186" i="30"/>
  <c r="B186" i="30"/>
  <c r="F185" i="30"/>
  <c r="E185" i="30"/>
  <c r="B185" i="30"/>
  <c r="F184" i="30"/>
  <c r="E184" i="30"/>
  <c r="B184" i="30"/>
  <c r="F183" i="30"/>
  <c r="E183" i="30"/>
  <c r="B183" i="30"/>
  <c r="F182" i="30"/>
  <c r="E182" i="30"/>
  <c r="B182" i="30"/>
  <c r="F181" i="30"/>
  <c r="E181" i="30"/>
  <c r="B181" i="30"/>
  <c r="F179" i="30"/>
  <c r="E179" i="30"/>
  <c r="B179" i="30"/>
  <c r="F178" i="30"/>
  <c r="E178" i="30"/>
  <c r="B178" i="30"/>
  <c r="F177" i="30"/>
  <c r="E177" i="30"/>
  <c r="B177" i="30"/>
  <c r="F176" i="30"/>
  <c r="E176" i="30"/>
  <c r="B176" i="30"/>
  <c r="F175" i="30"/>
  <c r="E175" i="30"/>
  <c r="B175" i="30"/>
  <c r="F174" i="30"/>
  <c r="E174" i="30"/>
  <c r="B174" i="30"/>
  <c r="F173" i="30"/>
  <c r="E173" i="30"/>
  <c r="B173" i="30"/>
  <c r="F172" i="30"/>
  <c r="E172" i="30"/>
  <c r="B172" i="30"/>
  <c r="F171" i="30"/>
  <c r="E171" i="30"/>
  <c r="B171" i="30"/>
  <c r="F170" i="30"/>
  <c r="E170" i="30"/>
  <c r="B170" i="30"/>
  <c r="F169" i="30"/>
  <c r="E169" i="30"/>
  <c r="B169" i="30"/>
  <c r="F167" i="30"/>
  <c r="E167" i="30"/>
  <c r="B167" i="30"/>
  <c r="F166" i="30"/>
  <c r="E166" i="30"/>
  <c r="B166" i="30"/>
  <c r="F165" i="30"/>
  <c r="E165" i="30"/>
  <c r="B165" i="30"/>
  <c r="F164" i="30"/>
  <c r="E164" i="30"/>
  <c r="B164" i="30"/>
  <c r="F163" i="30"/>
  <c r="E163" i="30"/>
  <c r="B163" i="30"/>
  <c r="F162" i="30"/>
  <c r="E162" i="30"/>
  <c r="B162" i="30"/>
  <c r="F161" i="30"/>
  <c r="E161" i="30"/>
  <c r="B161" i="30"/>
  <c r="F160" i="30"/>
  <c r="E160" i="30"/>
  <c r="B160" i="30"/>
  <c r="F159" i="30"/>
  <c r="E159" i="30"/>
  <c r="B159" i="30"/>
  <c r="F158" i="30"/>
  <c r="E158" i="30"/>
  <c r="B158" i="30"/>
  <c r="F157" i="30"/>
  <c r="E157" i="30"/>
  <c r="B157" i="30"/>
  <c r="F155" i="30"/>
  <c r="E155" i="30"/>
  <c r="B155" i="30"/>
  <c r="F154" i="30"/>
  <c r="E154" i="30"/>
  <c r="B154" i="30"/>
  <c r="F153" i="30"/>
  <c r="E153" i="30"/>
  <c r="B153" i="30"/>
  <c r="F152" i="30"/>
  <c r="E152" i="30"/>
  <c r="B152" i="30"/>
  <c r="F151" i="30"/>
  <c r="E151" i="30"/>
  <c r="B151" i="30"/>
  <c r="F150" i="30"/>
  <c r="E150" i="30"/>
  <c r="B150" i="30"/>
  <c r="F149" i="30"/>
  <c r="E149" i="30"/>
  <c r="B149" i="30"/>
  <c r="F148" i="30"/>
  <c r="E148" i="30"/>
  <c r="B148" i="30"/>
  <c r="F147" i="30"/>
  <c r="E147" i="30"/>
  <c r="B147" i="30"/>
  <c r="F146" i="30"/>
  <c r="E146" i="30"/>
  <c r="B146" i="30"/>
  <c r="F145" i="30"/>
  <c r="E145" i="30"/>
  <c r="B145" i="30"/>
  <c r="F143" i="30"/>
  <c r="E143" i="30"/>
  <c r="B143" i="30"/>
  <c r="F142" i="30"/>
  <c r="E142" i="30"/>
  <c r="B142" i="30"/>
  <c r="F141" i="30"/>
  <c r="E141" i="30"/>
  <c r="B141" i="30"/>
  <c r="F140" i="30"/>
  <c r="E140" i="30"/>
  <c r="B140" i="30"/>
  <c r="F139" i="30"/>
  <c r="E139" i="30"/>
  <c r="B139" i="30"/>
  <c r="F138" i="30"/>
  <c r="E138" i="30"/>
  <c r="B138" i="30"/>
  <c r="F137" i="30"/>
  <c r="E137" i="30"/>
  <c r="B137" i="30"/>
  <c r="F136" i="30"/>
  <c r="E136" i="30"/>
  <c r="B136" i="30"/>
  <c r="F135" i="30"/>
  <c r="E135" i="30"/>
  <c r="B135" i="30"/>
  <c r="F134" i="30"/>
  <c r="E134" i="30"/>
  <c r="B134" i="30"/>
  <c r="F133" i="30"/>
  <c r="E133" i="30"/>
  <c r="B133" i="30"/>
  <c r="F131" i="30"/>
  <c r="E131" i="30"/>
  <c r="B131" i="30"/>
  <c r="F130" i="30"/>
  <c r="E130" i="30"/>
  <c r="B130" i="30"/>
  <c r="F129" i="30"/>
  <c r="E129" i="30"/>
  <c r="B129" i="30"/>
  <c r="F128" i="30"/>
  <c r="E128" i="30"/>
  <c r="B128" i="30"/>
  <c r="F127" i="30"/>
  <c r="E127" i="30"/>
  <c r="B127" i="30"/>
  <c r="F126" i="30"/>
  <c r="E126" i="30"/>
  <c r="B126" i="30"/>
  <c r="F125" i="30"/>
  <c r="E125" i="30"/>
  <c r="B125" i="30"/>
  <c r="F124" i="30"/>
  <c r="E124" i="30"/>
  <c r="B124" i="30"/>
  <c r="F123" i="30"/>
  <c r="E123" i="30"/>
  <c r="B123" i="30"/>
  <c r="F122" i="30"/>
  <c r="E122" i="30"/>
  <c r="B122" i="30"/>
  <c r="F121" i="30"/>
  <c r="E121" i="30"/>
  <c r="B121" i="30"/>
  <c r="F119" i="30"/>
  <c r="E119" i="30"/>
  <c r="B119" i="30"/>
  <c r="F118" i="30"/>
  <c r="E118" i="30"/>
  <c r="B118" i="30"/>
  <c r="F117" i="30"/>
  <c r="E117" i="30"/>
  <c r="B117" i="30"/>
  <c r="F116" i="30"/>
  <c r="E116" i="30"/>
  <c r="B116" i="30"/>
  <c r="F115" i="30"/>
  <c r="E115" i="30"/>
  <c r="B115" i="30"/>
  <c r="F114" i="30"/>
  <c r="E114" i="30"/>
  <c r="B114" i="30"/>
  <c r="F113" i="30"/>
  <c r="E113" i="30"/>
  <c r="B113" i="30"/>
  <c r="F112" i="30"/>
  <c r="E112" i="30"/>
  <c r="B112" i="30"/>
  <c r="F111" i="30"/>
  <c r="E111" i="30"/>
  <c r="B111" i="30"/>
  <c r="F110" i="30"/>
  <c r="E110" i="30"/>
  <c r="B110" i="30"/>
  <c r="F109" i="30"/>
  <c r="E109" i="30"/>
  <c r="B109" i="30"/>
  <c r="F107" i="30"/>
  <c r="E107" i="30"/>
  <c r="B107" i="30"/>
  <c r="F106" i="30"/>
  <c r="E106" i="30"/>
  <c r="B106" i="30"/>
  <c r="F105" i="30"/>
  <c r="E105" i="30"/>
  <c r="B105" i="30"/>
  <c r="F104" i="30"/>
  <c r="E104" i="30"/>
  <c r="B104" i="30"/>
  <c r="F103" i="30"/>
  <c r="E103" i="30"/>
  <c r="B103" i="30"/>
  <c r="F102" i="30"/>
  <c r="E102" i="30"/>
  <c r="B102" i="30"/>
  <c r="F101" i="30"/>
  <c r="E101" i="30"/>
  <c r="B101" i="30"/>
  <c r="F100" i="30"/>
  <c r="E100" i="30"/>
  <c r="B100" i="30"/>
  <c r="F99" i="30"/>
  <c r="E99" i="30"/>
  <c r="B99" i="30"/>
  <c r="F98" i="30"/>
  <c r="E98" i="30"/>
  <c r="B98" i="30"/>
  <c r="F97" i="30"/>
  <c r="E97" i="30"/>
  <c r="B97" i="30"/>
  <c r="F95" i="30"/>
  <c r="E95" i="30"/>
  <c r="B95" i="30"/>
  <c r="F94" i="30"/>
  <c r="E94" i="30"/>
  <c r="B94" i="30"/>
  <c r="F93" i="30"/>
  <c r="E93" i="30"/>
  <c r="B93" i="30"/>
  <c r="F92" i="30"/>
  <c r="E92" i="30"/>
  <c r="B92" i="30"/>
  <c r="F91" i="30"/>
  <c r="E91" i="30"/>
  <c r="B91" i="30"/>
  <c r="F90" i="30"/>
  <c r="E90" i="30"/>
  <c r="B90" i="30"/>
  <c r="F89" i="30"/>
  <c r="E89" i="30"/>
  <c r="B89" i="30"/>
  <c r="F88" i="30"/>
  <c r="E88" i="30"/>
  <c r="B88" i="30"/>
  <c r="F87" i="30"/>
  <c r="E87" i="30"/>
  <c r="B87" i="30"/>
  <c r="F86" i="30"/>
  <c r="E86" i="30"/>
  <c r="B86" i="30"/>
  <c r="F85" i="30"/>
  <c r="E85" i="30"/>
  <c r="B85" i="30"/>
  <c r="F83" i="30"/>
  <c r="E83" i="30"/>
  <c r="B83" i="30"/>
  <c r="F82" i="30"/>
  <c r="E82" i="30"/>
  <c r="B82" i="30"/>
  <c r="F81" i="30"/>
  <c r="E81" i="30"/>
  <c r="B81" i="30"/>
  <c r="F80" i="30"/>
  <c r="E80" i="30"/>
  <c r="B80" i="30"/>
  <c r="F79" i="30"/>
  <c r="E79" i="30"/>
  <c r="B79" i="30"/>
  <c r="F78" i="30"/>
  <c r="E78" i="30"/>
  <c r="B78" i="30"/>
  <c r="F77" i="30"/>
  <c r="E77" i="30"/>
  <c r="B77" i="30"/>
  <c r="F76" i="30"/>
  <c r="E76" i="30"/>
  <c r="B76" i="30"/>
  <c r="F75" i="30"/>
  <c r="E75" i="30"/>
  <c r="B75" i="30"/>
  <c r="F74" i="30"/>
  <c r="E74" i="30"/>
  <c r="B74" i="30"/>
  <c r="F73" i="30"/>
  <c r="E73" i="30"/>
  <c r="B73" i="30"/>
  <c r="AM71" i="30"/>
  <c r="AL71" i="30"/>
  <c r="AK71" i="30"/>
  <c r="AJ71" i="30"/>
  <c r="AI71" i="30"/>
  <c r="AH71" i="30"/>
  <c r="AG71" i="30"/>
  <c r="AF71" i="30"/>
  <c r="AE71" i="30"/>
  <c r="AD71" i="30"/>
  <c r="AC71" i="30"/>
  <c r="AB71" i="30"/>
  <c r="AA71" i="30"/>
  <c r="Z71" i="30"/>
  <c r="Y71" i="30"/>
  <c r="X71" i="30"/>
  <c r="W71" i="30"/>
  <c r="V71" i="30"/>
  <c r="U71" i="30"/>
  <c r="T71" i="30"/>
  <c r="S71" i="30"/>
  <c r="R71" i="30"/>
  <c r="Q71" i="30"/>
  <c r="P71" i="30"/>
  <c r="O71" i="30"/>
  <c r="N71" i="30"/>
  <c r="M71" i="30"/>
  <c r="L71" i="30"/>
  <c r="K71" i="30"/>
  <c r="J71" i="30"/>
  <c r="I71" i="30"/>
  <c r="E71" i="30"/>
  <c r="F66" i="30"/>
  <c r="E66" i="30"/>
  <c r="B66" i="30"/>
  <c r="F65" i="30"/>
  <c r="E65" i="30"/>
  <c r="B65" i="30"/>
  <c r="F64" i="30"/>
  <c r="E64" i="30"/>
  <c r="B64" i="30"/>
  <c r="F63" i="30"/>
  <c r="E63" i="30"/>
  <c r="B63" i="30"/>
  <c r="F62" i="30"/>
  <c r="E62" i="30"/>
  <c r="B62" i="30"/>
  <c r="F61" i="30"/>
  <c r="E61" i="30"/>
  <c r="B61" i="30"/>
  <c r="F60" i="30"/>
  <c r="E60" i="30"/>
  <c r="B60" i="30"/>
  <c r="F59" i="30"/>
  <c r="E59" i="30"/>
  <c r="B59" i="30"/>
  <c r="F58" i="30"/>
  <c r="E58" i="30"/>
  <c r="B58" i="30"/>
  <c r="F57" i="30"/>
  <c r="E57" i="30"/>
  <c r="B57" i="30"/>
  <c r="F56" i="30"/>
  <c r="E56" i="30"/>
  <c r="B56" i="30"/>
  <c r="F55" i="30"/>
  <c r="E55" i="30"/>
  <c r="B55" i="30"/>
  <c r="F54" i="30"/>
  <c r="E54" i="30"/>
  <c r="B54" i="30"/>
  <c r="F53" i="30"/>
  <c r="E53" i="30"/>
  <c r="B53" i="30"/>
  <c r="F52" i="30"/>
  <c r="E52" i="30"/>
  <c r="B52" i="30"/>
  <c r="D51" i="30"/>
  <c r="C51" i="30"/>
  <c r="F51" i="30"/>
  <c r="E51" i="30"/>
  <c r="B51" i="30"/>
  <c r="AM49" i="30"/>
  <c r="AL49" i="30"/>
  <c r="AK49" i="30"/>
  <c r="AJ49" i="30"/>
  <c r="AI49" i="30"/>
  <c r="AH49" i="30"/>
  <c r="AG49" i="30"/>
  <c r="AF49" i="30"/>
  <c r="AE49" i="30"/>
  <c r="AD49" i="30"/>
  <c r="AC49" i="30"/>
  <c r="AB49" i="30"/>
  <c r="AA49" i="30"/>
  <c r="Z49" i="30"/>
  <c r="Y49" i="30"/>
  <c r="X49" i="30"/>
  <c r="W49" i="30"/>
  <c r="V49" i="30"/>
  <c r="U49" i="30"/>
  <c r="T49" i="30"/>
  <c r="S49" i="30"/>
  <c r="R49" i="30"/>
  <c r="Q49" i="30"/>
  <c r="P49" i="30"/>
  <c r="O49" i="30"/>
  <c r="N49" i="30"/>
  <c r="M49" i="30"/>
  <c r="L49" i="30"/>
  <c r="K49" i="30"/>
  <c r="J49" i="30"/>
  <c r="I49" i="30"/>
  <c r="D49" i="30"/>
  <c r="C49" i="30"/>
  <c r="E49" i="30"/>
  <c r="E41" i="30"/>
  <c r="C41" i="30"/>
  <c r="B41" i="30"/>
  <c r="E40" i="30"/>
  <c r="C40" i="30"/>
  <c r="B40" i="30"/>
  <c r="E39" i="30"/>
  <c r="C39" i="30"/>
  <c r="B39" i="30"/>
  <c r="E38" i="30"/>
  <c r="C38" i="30"/>
  <c r="B38" i="30"/>
  <c r="E37" i="30"/>
  <c r="C37" i="30"/>
  <c r="B37" i="30"/>
  <c r="E36" i="30"/>
  <c r="C36" i="30"/>
  <c r="B36" i="30"/>
  <c r="E35" i="30"/>
  <c r="C35" i="30"/>
  <c r="B35" i="30"/>
  <c r="E34" i="30"/>
  <c r="C34" i="30"/>
  <c r="B34" i="30"/>
  <c r="E33" i="30"/>
  <c r="C33" i="30"/>
  <c r="B33" i="30"/>
  <c r="E32" i="30"/>
  <c r="C32" i="30"/>
  <c r="B32" i="30"/>
  <c r="E31" i="30"/>
  <c r="C31" i="30"/>
  <c r="B31" i="30"/>
  <c r="E30" i="30"/>
  <c r="C30" i="30"/>
  <c r="B30" i="30"/>
  <c r="E29" i="30"/>
  <c r="C29" i="30"/>
  <c r="B29" i="30"/>
  <c r="E28" i="30"/>
  <c r="C28" i="30"/>
  <c r="B28" i="30"/>
  <c r="E27" i="30"/>
  <c r="C27" i="30"/>
  <c r="B27" i="30"/>
  <c r="D17" i="30"/>
  <c r="D16" i="30"/>
  <c r="E23" i="30"/>
  <c r="B23" i="30"/>
  <c r="D19" i="30"/>
  <c r="D9" i="30"/>
  <c r="D10" i="30"/>
  <c r="D12" i="30"/>
  <c r="AM254" i="29"/>
  <c r="AL254" i="29"/>
  <c r="AK254" i="29"/>
  <c r="AJ254" i="29"/>
  <c r="AI254" i="29"/>
  <c r="AH254" i="29"/>
  <c r="AG254" i="29"/>
  <c r="AF254" i="29"/>
  <c r="AE254" i="29"/>
  <c r="AD254" i="29"/>
  <c r="AC254" i="29"/>
  <c r="AB254" i="29"/>
  <c r="AA254" i="29"/>
  <c r="Z254" i="29"/>
  <c r="Y254" i="29"/>
  <c r="X254" i="29"/>
  <c r="W254" i="29"/>
  <c r="V254" i="29"/>
  <c r="U254" i="29"/>
  <c r="T254" i="29"/>
  <c r="S254" i="29"/>
  <c r="R254" i="29"/>
  <c r="Q254" i="29"/>
  <c r="P254" i="29"/>
  <c r="O254" i="29"/>
  <c r="N254" i="29"/>
  <c r="M254" i="29"/>
  <c r="L254" i="29"/>
  <c r="K254" i="29"/>
  <c r="J254" i="29"/>
  <c r="I254" i="29"/>
  <c r="C73" i="29"/>
  <c r="C85" i="29"/>
  <c r="C97" i="29"/>
  <c r="C109" i="29"/>
  <c r="C121" i="29"/>
  <c r="C133" i="29"/>
  <c r="C145" i="29"/>
  <c r="C157" i="29"/>
  <c r="C169" i="29"/>
  <c r="C181" i="29"/>
  <c r="C193" i="29"/>
  <c r="C205" i="29"/>
  <c r="C217" i="29"/>
  <c r="C229" i="29"/>
  <c r="C241" i="29"/>
  <c r="C71" i="29"/>
  <c r="C254" i="29"/>
  <c r="D73" i="29"/>
  <c r="D85" i="29"/>
  <c r="D97" i="29"/>
  <c r="D109" i="29"/>
  <c r="D121" i="29"/>
  <c r="D133" i="29"/>
  <c r="D145" i="29"/>
  <c r="D157" i="29"/>
  <c r="D169" i="29"/>
  <c r="D181" i="29"/>
  <c r="D193" i="29"/>
  <c r="D205" i="29"/>
  <c r="D217" i="29"/>
  <c r="D229" i="29"/>
  <c r="D241" i="29"/>
  <c r="D71" i="29"/>
  <c r="D254" i="29"/>
  <c r="E254" i="29"/>
  <c r="F251" i="29"/>
  <c r="E251" i="29"/>
  <c r="B251" i="29"/>
  <c r="F250" i="29"/>
  <c r="E250" i="29"/>
  <c r="B250" i="29"/>
  <c r="F249" i="29"/>
  <c r="E249" i="29"/>
  <c r="B249" i="29"/>
  <c r="F248" i="29"/>
  <c r="E248" i="29"/>
  <c r="B248" i="29"/>
  <c r="F247" i="29"/>
  <c r="E247" i="29"/>
  <c r="B247" i="29"/>
  <c r="F246" i="29"/>
  <c r="E246" i="29"/>
  <c r="B246" i="29"/>
  <c r="F245" i="29"/>
  <c r="E245" i="29"/>
  <c r="B245" i="29"/>
  <c r="F244" i="29"/>
  <c r="E244" i="29"/>
  <c r="B244" i="29"/>
  <c r="F243" i="29"/>
  <c r="E243" i="29"/>
  <c r="B243" i="29"/>
  <c r="F242" i="29"/>
  <c r="E242" i="29"/>
  <c r="B242" i="29"/>
  <c r="F241" i="29"/>
  <c r="E241" i="29"/>
  <c r="B241" i="29"/>
  <c r="F239" i="29"/>
  <c r="E239" i="29"/>
  <c r="B239" i="29"/>
  <c r="F238" i="29"/>
  <c r="E238" i="29"/>
  <c r="B238" i="29"/>
  <c r="F237" i="29"/>
  <c r="E237" i="29"/>
  <c r="B237" i="29"/>
  <c r="F236" i="29"/>
  <c r="E236" i="29"/>
  <c r="B236" i="29"/>
  <c r="F235" i="29"/>
  <c r="E235" i="29"/>
  <c r="B235" i="29"/>
  <c r="F234" i="29"/>
  <c r="E234" i="29"/>
  <c r="B234" i="29"/>
  <c r="F233" i="29"/>
  <c r="E233" i="29"/>
  <c r="B233" i="29"/>
  <c r="F232" i="29"/>
  <c r="E232" i="29"/>
  <c r="B232" i="29"/>
  <c r="F231" i="29"/>
  <c r="E231" i="29"/>
  <c r="B231" i="29"/>
  <c r="F230" i="29"/>
  <c r="E230" i="29"/>
  <c r="B230" i="29"/>
  <c r="F229" i="29"/>
  <c r="E229" i="29"/>
  <c r="B229" i="29"/>
  <c r="F227" i="29"/>
  <c r="E227" i="29"/>
  <c r="B227" i="29"/>
  <c r="F226" i="29"/>
  <c r="E226" i="29"/>
  <c r="B226" i="29"/>
  <c r="F225" i="29"/>
  <c r="E225" i="29"/>
  <c r="B225" i="29"/>
  <c r="F224" i="29"/>
  <c r="E224" i="29"/>
  <c r="B224" i="29"/>
  <c r="F223" i="29"/>
  <c r="E223" i="29"/>
  <c r="B223" i="29"/>
  <c r="F222" i="29"/>
  <c r="E222" i="29"/>
  <c r="B222" i="29"/>
  <c r="F221" i="29"/>
  <c r="E221" i="29"/>
  <c r="B221" i="29"/>
  <c r="F220" i="29"/>
  <c r="E220" i="29"/>
  <c r="B220" i="29"/>
  <c r="F219" i="29"/>
  <c r="E219" i="29"/>
  <c r="B219" i="29"/>
  <c r="F218" i="29"/>
  <c r="E218" i="29"/>
  <c r="B218" i="29"/>
  <c r="F217" i="29"/>
  <c r="E217" i="29"/>
  <c r="B217" i="29"/>
  <c r="F215" i="29"/>
  <c r="E215" i="29"/>
  <c r="B215" i="29"/>
  <c r="F214" i="29"/>
  <c r="E214" i="29"/>
  <c r="B214" i="29"/>
  <c r="F213" i="29"/>
  <c r="E213" i="29"/>
  <c r="B213" i="29"/>
  <c r="F212" i="29"/>
  <c r="E212" i="29"/>
  <c r="B212" i="29"/>
  <c r="F211" i="29"/>
  <c r="E211" i="29"/>
  <c r="B211" i="29"/>
  <c r="F210" i="29"/>
  <c r="E210" i="29"/>
  <c r="B210" i="29"/>
  <c r="F209" i="29"/>
  <c r="E209" i="29"/>
  <c r="B209" i="29"/>
  <c r="F208" i="29"/>
  <c r="E208" i="29"/>
  <c r="B208" i="29"/>
  <c r="F207" i="29"/>
  <c r="E207" i="29"/>
  <c r="B207" i="29"/>
  <c r="F206" i="29"/>
  <c r="E206" i="29"/>
  <c r="B206" i="29"/>
  <c r="F205" i="29"/>
  <c r="E205" i="29"/>
  <c r="B205" i="29"/>
  <c r="F203" i="29"/>
  <c r="E203" i="29"/>
  <c r="B203" i="29"/>
  <c r="F202" i="29"/>
  <c r="E202" i="29"/>
  <c r="B202" i="29"/>
  <c r="F201" i="29"/>
  <c r="E201" i="29"/>
  <c r="B201" i="29"/>
  <c r="F200" i="29"/>
  <c r="E200" i="29"/>
  <c r="B200" i="29"/>
  <c r="F199" i="29"/>
  <c r="E199" i="29"/>
  <c r="B199" i="29"/>
  <c r="F198" i="29"/>
  <c r="E198" i="29"/>
  <c r="B198" i="29"/>
  <c r="F197" i="29"/>
  <c r="E197" i="29"/>
  <c r="B197" i="29"/>
  <c r="F196" i="29"/>
  <c r="E196" i="29"/>
  <c r="B196" i="29"/>
  <c r="F195" i="29"/>
  <c r="E195" i="29"/>
  <c r="B195" i="29"/>
  <c r="F194" i="29"/>
  <c r="E194" i="29"/>
  <c r="B194" i="29"/>
  <c r="F193" i="29"/>
  <c r="E193" i="29"/>
  <c r="B193" i="29"/>
  <c r="F191" i="29"/>
  <c r="E191" i="29"/>
  <c r="B191" i="29"/>
  <c r="F190" i="29"/>
  <c r="E190" i="29"/>
  <c r="B190" i="29"/>
  <c r="F189" i="29"/>
  <c r="E189" i="29"/>
  <c r="B189" i="29"/>
  <c r="F188" i="29"/>
  <c r="E188" i="29"/>
  <c r="B188" i="29"/>
  <c r="F187" i="29"/>
  <c r="E187" i="29"/>
  <c r="B187" i="29"/>
  <c r="F186" i="29"/>
  <c r="E186" i="29"/>
  <c r="B186" i="29"/>
  <c r="F185" i="29"/>
  <c r="E185" i="29"/>
  <c r="B185" i="29"/>
  <c r="F184" i="29"/>
  <c r="E184" i="29"/>
  <c r="B184" i="29"/>
  <c r="F183" i="29"/>
  <c r="E183" i="29"/>
  <c r="B183" i="29"/>
  <c r="F182" i="29"/>
  <c r="E182" i="29"/>
  <c r="B182" i="29"/>
  <c r="F181" i="29"/>
  <c r="E181" i="29"/>
  <c r="B181" i="29"/>
  <c r="F179" i="29"/>
  <c r="E179" i="29"/>
  <c r="B179" i="29"/>
  <c r="F178" i="29"/>
  <c r="E178" i="29"/>
  <c r="B178" i="29"/>
  <c r="F177" i="29"/>
  <c r="E177" i="29"/>
  <c r="B177" i="29"/>
  <c r="F176" i="29"/>
  <c r="E176" i="29"/>
  <c r="B176" i="29"/>
  <c r="F175" i="29"/>
  <c r="E175" i="29"/>
  <c r="B175" i="29"/>
  <c r="F174" i="29"/>
  <c r="E174" i="29"/>
  <c r="B174" i="29"/>
  <c r="F173" i="29"/>
  <c r="E173" i="29"/>
  <c r="B173" i="29"/>
  <c r="F172" i="29"/>
  <c r="E172" i="29"/>
  <c r="B172" i="29"/>
  <c r="F171" i="29"/>
  <c r="E171" i="29"/>
  <c r="B171" i="29"/>
  <c r="F170" i="29"/>
  <c r="E170" i="29"/>
  <c r="B170" i="29"/>
  <c r="F169" i="29"/>
  <c r="E169" i="29"/>
  <c r="B169" i="29"/>
  <c r="F167" i="29"/>
  <c r="E167" i="29"/>
  <c r="B167" i="29"/>
  <c r="F166" i="29"/>
  <c r="E166" i="29"/>
  <c r="B166" i="29"/>
  <c r="F165" i="29"/>
  <c r="E165" i="29"/>
  <c r="B165" i="29"/>
  <c r="F164" i="29"/>
  <c r="E164" i="29"/>
  <c r="B164" i="29"/>
  <c r="F163" i="29"/>
  <c r="E163" i="29"/>
  <c r="B163" i="29"/>
  <c r="F162" i="29"/>
  <c r="E162" i="29"/>
  <c r="B162" i="29"/>
  <c r="F161" i="29"/>
  <c r="E161" i="29"/>
  <c r="B161" i="29"/>
  <c r="F160" i="29"/>
  <c r="E160" i="29"/>
  <c r="B160" i="29"/>
  <c r="F159" i="29"/>
  <c r="E159" i="29"/>
  <c r="B159" i="29"/>
  <c r="F158" i="29"/>
  <c r="E158" i="29"/>
  <c r="B158" i="29"/>
  <c r="F157" i="29"/>
  <c r="E157" i="29"/>
  <c r="B157" i="29"/>
  <c r="F155" i="29"/>
  <c r="E155" i="29"/>
  <c r="B155" i="29"/>
  <c r="F154" i="29"/>
  <c r="E154" i="29"/>
  <c r="B154" i="29"/>
  <c r="F153" i="29"/>
  <c r="E153" i="29"/>
  <c r="B153" i="29"/>
  <c r="F152" i="29"/>
  <c r="E152" i="29"/>
  <c r="B152" i="29"/>
  <c r="F151" i="29"/>
  <c r="E151" i="29"/>
  <c r="B151" i="29"/>
  <c r="F150" i="29"/>
  <c r="E150" i="29"/>
  <c r="B150" i="29"/>
  <c r="F149" i="29"/>
  <c r="E149" i="29"/>
  <c r="B149" i="29"/>
  <c r="F148" i="29"/>
  <c r="E148" i="29"/>
  <c r="B148" i="29"/>
  <c r="F147" i="29"/>
  <c r="E147" i="29"/>
  <c r="B147" i="29"/>
  <c r="F146" i="29"/>
  <c r="E146" i="29"/>
  <c r="B146" i="29"/>
  <c r="F145" i="29"/>
  <c r="E145" i="29"/>
  <c r="B145" i="29"/>
  <c r="F143" i="29"/>
  <c r="E143" i="29"/>
  <c r="B143" i="29"/>
  <c r="F142" i="29"/>
  <c r="E142" i="29"/>
  <c r="B142" i="29"/>
  <c r="F141" i="29"/>
  <c r="E141" i="29"/>
  <c r="B141" i="29"/>
  <c r="F140" i="29"/>
  <c r="E140" i="29"/>
  <c r="B140" i="29"/>
  <c r="F139" i="29"/>
  <c r="E139" i="29"/>
  <c r="B139" i="29"/>
  <c r="F138" i="29"/>
  <c r="E138" i="29"/>
  <c r="B138" i="29"/>
  <c r="F137" i="29"/>
  <c r="E137" i="29"/>
  <c r="B137" i="29"/>
  <c r="F136" i="29"/>
  <c r="E136" i="29"/>
  <c r="B136" i="29"/>
  <c r="F135" i="29"/>
  <c r="E135" i="29"/>
  <c r="B135" i="29"/>
  <c r="F134" i="29"/>
  <c r="E134" i="29"/>
  <c r="B134" i="29"/>
  <c r="F133" i="29"/>
  <c r="E133" i="29"/>
  <c r="B133" i="29"/>
  <c r="F131" i="29"/>
  <c r="E131" i="29"/>
  <c r="B131" i="29"/>
  <c r="F130" i="29"/>
  <c r="E130" i="29"/>
  <c r="B130" i="29"/>
  <c r="F129" i="29"/>
  <c r="E129" i="29"/>
  <c r="B129" i="29"/>
  <c r="F128" i="29"/>
  <c r="E128" i="29"/>
  <c r="B128" i="29"/>
  <c r="F127" i="29"/>
  <c r="E127" i="29"/>
  <c r="B127" i="29"/>
  <c r="F126" i="29"/>
  <c r="E126" i="29"/>
  <c r="B126" i="29"/>
  <c r="F125" i="29"/>
  <c r="E125" i="29"/>
  <c r="B125" i="29"/>
  <c r="F124" i="29"/>
  <c r="E124" i="29"/>
  <c r="B124" i="29"/>
  <c r="F123" i="29"/>
  <c r="E123" i="29"/>
  <c r="B123" i="29"/>
  <c r="F122" i="29"/>
  <c r="E122" i="29"/>
  <c r="B122" i="29"/>
  <c r="F121" i="29"/>
  <c r="E121" i="29"/>
  <c r="B121" i="29"/>
  <c r="F119" i="29"/>
  <c r="E119" i="29"/>
  <c r="B119" i="29"/>
  <c r="F118" i="29"/>
  <c r="E118" i="29"/>
  <c r="B118" i="29"/>
  <c r="F117" i="29"/>
  <c r="E117" i="29"/>
  <c r="B117" i="29"/>
  <c r="F116" i="29"/>
  <c r="E116" i="29"/>
  <c r="B116" i="29"/>
  <c r="F115" i="29"/>
  <c r="E115" i="29"/>
  <c r="B115" i="29"/>
  <c r="F114" i="29"/>
  <c r="E114" i="29"/>
  <c r="B114" i="29"/>
  <c r="F113" i="29"/>
  <c r="E113" i="29"/>
  <c r="B113" i="29"/>
  <c r="F112" i="29"/>
  <c r="E112" i="29"/>
  <c r="B112" i="29"/>
  <c r="F111" i="29"/>
  <c r="E111" i="29"/>
  <c r="B111" i="29"/>
  <c r="F110" i="29"/>
  <c r="E110" i="29"/>
  <c r="B110" i="29"/>
  <c r="F109" i="29"/>
  <c r="E109" i="29"/>
  <c r="B109" i="29"/>
  <c r="F107" i="29"/>
  <c r="E107" i="29"/>
  <c r="B107" i="29"/>
  <c r="F106" i="29"/>
  <c r="E106" i="29"/>
  <c r="B106" i="29"/>
  <c r="F105" i="29"/>
  <c r="E105" i="29"/>
  <c r="B105" i="29"/>
  <c r="F104" i="29"/>
  <c r="E104" i="29"/>
  <c r="B104" i="29"/>
  <c r="F103" i="29"/>
  <c r="E103" i="29"/>
  <c r="B103" i="29"/>
  <c r="F102" i="29"/>
  <c r="E102" i="29"/>
  <c r="B102" i="29"/>
  <c r="F101" i="29"/>
  <c r="E101" i="29"/>
  <c r="B101" i="29"/>
  <c r="F100" i="29"/>
  <c r="E100" i="29"/>
  <c r="B100" i="29"/>
  <c r="F99" i="29"/>
  <c r="E99" i="29"/>
  <c r="B99" i="29"/>
  <c r="F98" i="29"/>
  <c r="E98" i="29"/>
  <c r="B98" i="29"/>
  <c r="F97" i="29"/>
  <c r="E97" i="29"/>
  <c r="B97" i="29"/>
  <c r="F95" i="29"/>
  <c r="E95" i="29"/>
  <c r="B95" i="29"/>
  <c r="F94" i="29"/>
  <c r="E94" i="29"/>
  <c r="B94" i="29"/>
  <c r="F93" i="29"/>
  <c r="E93" i="29"/>
  <c r="B93" i="29"/>
  <c r="F92" i="29"/>
  <c r="E92" i="29"/>
  <c r="B92" i="29"/>
  <c r="F91" i="29"/>
  <c r="E91" i="29"/>
  <c r="B91" i="29"/>
  <c r="F90" i="29"/>
  <c r="E90" i="29"/>
  <c r="B90" i="29"/>
  <c r="F89" i="29"/>
  <c r="E89" i="29"/>
  <c r="B89" i="29"/>
  <c r="F88" i="29"/>
  <c r="E88" i="29"/>
  <c r="B88" i="29"/>
  <c r="F87" i="29"/>
  <c r="E87" i="29"/>
  <c r="B87" i="29"/>
  <c r="F86" i="29"/>
  <c r="E86" i="29"/>
  <c r="B86" i="29"/>
  <c r="F85" i="29"/>
  <c r="E85" i="29"/>
  <c r="B85" i="29"/>
  <c r="F83" i="29"/>
  <c r="E83" i="29"/>
  <c r="B83" i="29"/>
  <c r="F82" i="29"/>
  <c r="E82" i="29"/>
  <c r="B82" i="29"/>
  <c r="F81" i="29"/>
  <c r="E81" i="29"/>
  <c r="B81" i="29"/>
  <c r="F80" i="29"/>
  <c r="E80" i="29"/>
  <c r="B80" i="29"/>
  <c r="F79" i="29"/>
  <c r="E79" i="29"/>
  <c r="B79" i="29"/>
  <c r="F78" i="29"/>
  <c r="E78" i="29"/>
  <c r="B78" i="29"/>
  <c r="F77" i="29"/>
  <c r="E77" i="29"/>
  <c r="B77" i="29"/>
  <c r="F76" i="29"/>
  <c r="E76" i="29"/>
  <c r="B76" i="29"/>
  <c r="F75" i="29"/>
  <c r="E75" i="29"/>
  <c r="B75" i="29"/>
  <c r="F74" i="29"/>
  <c r="E74" i="29"/>
  <c r="B74" i="29"/>
  <c r="F73" i="29"/>
  <c r="E73" i="29"/>
  <c r="B73" i="29"/>
  <c r="AM71" i="29"/>
  <c r="AL71" i="29"/>
  <c r="AK71" i="29"/>
  <c r="AJ71" i="29"/>
  <c r="AI71" i="29"/>
  <c r="AH71" i="29"/>
  <c r="AG71" i="29"/>
  <c r="AF71" i="29"/>
  <c r="AE71" i="29"/>
  <c r="AD71" i="29"/>
  <c r="AC71" i="29"/>
  <c r="AB71" i="29"/>
  <c r="AA71" i="29"/>
  <c r="Z71" i="29"/>
  <c r="Y71" i="29"/>
  <c r="X71" i="29"/>
  <c r="W71" i="29"/>
  <c r="V71" i="29"/>
  <c r="U71" i="29"/>
  <c r="T71" i="29"/>
  <c r="S71" i="29"/>
  <c r="R71" i="29"/>
  <c r="Q71" i="29"/>
  <c r="P71" i="29"/>
  <c r="O71" i="29"/>
  <c r="N71" i="29"/>
  <c r="M71" i="29"/>
  <c r="L71" i="29"/>
  <c r="K71" i="29"/>
  <c r="J71" i="29"/>
  <c r="I71" i="29"/>
  <c r="E71" i="29"/>
  <c r="F66" i="29"/>
  <c r="E66" i="29"/>
  <c r="B66" i="29"/>
  <c r="F65" i="29"/>
  <c r="E65" i="29"/>
  <c r="B65" i="29"/>
  <c r="F64" i="29"/>
  <c r="E64" i="29"/>
  <c r="B64" i="29"/>
  <c r="F63" i="29"/>
  <c r="E63" i="29"/>
  <c r="B63" i="29"/>
  <c r="F62" i="29"/>
  <c r="E62" i="29"/>
  <c r="B62" i="29"/>
  <c r="F61" i="29"/>
  <c r="E61" i="29"/>
  <c r="B61" i="29"/>
  <c r="F60" i="29"/>
  <c r="E60" i="29"/>
  <c r="B60" i="29"/>
  <c r="F59" i="29"/>
  <c r="E59" i="29"/>
  <c r="B59" i="29"/>
  <c r="F58" i="29"/>
  <c r="E58" i="29"/>
  <c r="B58" i="29"/>
  <c r="F57" i="29"/>
  <c r="E57" i="29"/>
  <c r="B57" i="29"/>
  <c r="F56" i="29"/>
  <c r="E56" i="29"/>
  <c r="B56" i="29"/>
  <c r="F55" i="29"/>
  <c r="E55" i="29"/>
  <c r="B55" i="29"/>
  <c r="F54" i="29"/>
  <c r="E54" i="29"/>
  <c r="B54" i="29"/>
  <c r="F53" i="29"/>
  <c r="E53" i="29"/>
  <c r="B53" i="29"/>
  <c r="F52" i="29"/>
  <c r="E52" i="29"/>
  <c r="B52" i="29"/>
  <c r="D51" i="29"/>
  <c r="C51" i="29"/>
  <c r="F51" i="29"/>
  <c r="E51" i="29"/>
  <c r="B51" i="29"/>
  <c r="AM49" i="29"/>
  <c r="AL49" i="29"/>
  <c r="AK49" i="29"/>
  <c r="AJ49" i="29"/>
  <c r="AI49" i="29"/>
  <c r="AH49" i="29"/>
  <c r="AG49" i="29"/>
  <c r="AF49" i="29"/>
  <c r="AE49" i="29"/>
  <c r="AD49" i="29"/>
  <c r="AC49" i="29"/>
  <c r="AB49" i="29"/>
  <c r="AA49" i="29"/>
  <c r="Z49" i="29"/>
  <c r="Y49" i="29"/>
  <c r="X49" i="29"/>
  <c r="W49" i="29"/>
  <c r="V49" i="29"/>
  <c r="U49" i="29"/>
  <c r="T49" i="29"/>
  <c r="S49" i="29"/>
  <c r="R49" i="29"/>
  <c r="Q49" i="29"/>
  <c r="P49" i="29"/>
  <c r="O49" i="29"/>
  <c r="N49" i="29"/>
  <c r="M49" i="29"/>
  <c r="L49" i="29"/>
  <c r="K49" i="29"/>
  <c r="J49" i="29"/>
  <c r="I49" i="29"/>
  <c r="D49" i="29"/>
  <c r="C49" i="29"/>
  <c r="E49" i="29"/>
  <c r="E41" i="29"/>
  <c r="C41" i="29"/>
  <c r="B41" i="29"/>
  <c r="E40" i="29"/>
  <c r="C40" i="29"/>
  <c r="B40" i="29"/>
  <c r="E39" i="29"/>
  <c r="C39" i="29"/>
  <c r="B39" i="29"/>
  <c r="E38" i="29"/>
  <c r="C38" i="29"/>
  <c r="B38" i="29"/>
  <c r="E37" i="29"/>
  <c r="C37" i="29"/>
  <c r="B37" i="29"/>
  <c r="E36" i="29"/>
  <c r="C36" i="29"/>
  <c r="B36" i="29"/>
  <c r="E35" i="29"/>
  <c r="C35" i="29"/>
  <c r="B35" i="29"/>
  <c r="E34" i="29"/>
  <c r="C34" i="29"/>
  <c r="B34" i="29"/>
  <c r="E33" i="29"/>
  <c r="C33" i="29"/>
  <c r="B33" i="29"/>
  <c r="E32" i="29"/>
  <c r="C32" i="29"/>
  <c r="B32" i="29"/>
  <c r="E31" i="29"/>
  <c r="C31" i="29"/>
  <c r="B31" i="29"/>
  <c r="E30" i="29"/>
  <c r="C30" i="29"/>
  <c r="B30" i="29"/>
  <c r="E29" i="29"/>
  <c r="C29" i="29"/>
  <c r="B29" i="29"/>
  <c r="E28" i="29"/>
  <c r="C28" i="29"/>
  <c r="B28" i="29"/>
  <c r="E27" i="29"/>
  <c r="C27" i="29"/>
  <c r="B27" i="29"/>
  <c r="D17" i="29"/>
  <c r="D16" i="29"/>
  <c r="E23" i="29"/>
  <c r="B23" i="29"/>
  <c r="D19" i="29"/>
  <c r="D9" i="29"/>
  <c r="D10" i="29"/>
  <c r="D12" i="29"/>
  <c r="AM254" i="28"/>
  <c r="AL254" i="28"/>
  <c r="AK254" i="28"/>
  <c r="AJ254" i="28"/>
  <c r="AI254" i="28"/>
  <c r="AH254" i="28"/>
  <c r="AG254" i="28"/>
  <c r="AF254" i="28"/>
  <c r="AE254" i="28"/>
  <c r="AD254" i="28"/>
  <c r="AC254" i="28"/>
  <c r="AB254" i="28"/>
  <c r="AA254" i="28"/>
  <c r="Z254" i="28"/>
  <c r="Y254" i="28"/>
  <c r="X254" i="28"/>
  <c r="W254" i="28"/>
  <c r="V254" i="28"/>
  <c r="U254" i="28"/>
  <c r="T254" i="28"/>
  <c r="S254" i="28"/>
  <c r="R254" i="28"/>
  <c r="Q254" i="28"/>
  <c r="P254" i="28"/>
  <c r="O254" i="28"/>
  <c r="N254" i="28"/>
  <c r="M254" i="28"/>
  <c r="L254" i="28"/>
  <c r="K254" i="28"/>
  <c r="J254" i="28"/>
  <c r="I254" i="28"/>
  <c r="C73" i="28"/>
  <c r="C85" i="28"/>
  <c r="C97" i="28"/>
  <c r="C109" i="28"/>
  <c r="C121" i="28"/>
  <c r="C133" i="28"/>
  <c r="C145" i="28"/>
  <c r="C157" i="28"/>
  <c r="C169" i="28"/>
  <c r="C181" i="28"/>
  <c r="C193" i="28"/>
  <c r="C205" i="28"/>
  <c r="C217" i="28"/>
  <c r="C229" i="28"/>
  <c r="C241" i="28"/>
  <c r="C71" i="28"/>
  <c r="C254" i="28"/>
  <c r="D73" i="28"/>
  <c r="D85" i="28"/>
  <c r="D97" i="28"/>
  <c r="D109" i="28"/>
  <c r="D121" i="28"/>
  <c r="D133" i="28"/>
  <c r="D145" i="28"/>
  <c r="D157" i="28"/>
  <c r="D169" i="28"/>
  <c r="D181" i="28"/>
  <c r="D193" i="28"/>
  <c r="D205" i="28"/>
  <c r="D217" i="28"/>
  <c r="D229" i="28"/>
  <c r="D241" i="28"/>
  <c r="D71" i="28"/>
  <c r="D254" i="28"/>
  <c r="E254" i="28"/>
  <c r="F251" i="28"/>
  <c r="E251" i="28"/>
  <c r="B251" i="28"/>
  <c r="F250" i="28"/>
  <c r="E250" i="28"/>
  <c r="B250" i="28"/>
  <c r="F249" i="28"/>
  <c r="E249" i="28"/>
  <c r="B249" i="28"/>
  <c r="F248" i="28"/>
  <c r="E248" i="28"/>
  <c r="B248" i="28"/>
  <c r="F247" i="28"/>
  <c r="E247" i="28"/>
  <c r="B247" i="28"/>
  <c r="F246" i="28"/>
  <c r="E246" i="28"/>
  <c r="B246" i="28"/>
  <c r="F245" i="28"/>
  <c r="E245" i="28"/>
  <c r="B245" i="28"/>
  <c r="F244" i="28"/>
  <c r="E244" i="28"/>
  <c r="B244" i="28"/>
  <c r="F243" i="28"/>
  <c r="E243" i="28"/>
  <c r="B243" i="28"/>
  <c r="F242" i="28"/>
  <c r="E242" i="28"/>
  <c r="B242" i="28"/>
  <c r="F241" i="28"/>
  <c r="E241" i="28"/>
  <c r="B241" i="28"/>
  <c r="F239" i="28"/>
  <c r="E239" i="28"/>
  <c r="B239" i="28"/>
  <c r="F238" i="28"/>
  <c r="E238" i="28"/>
  <c r="B238" i="28"/>
  <c r="F237" i="28"/>
  <c r="E237" i="28"/>
  <c r="B237" i="28"/>
  <c r="F236" i="28"/>
  <c r="E236" i="28"/>
  <c r="B236" i="28"/>
  <c r="F235" i="28"/>
  <c r="E235" i="28"/>
  <c r="B235" i="28"/>
  <c r="F234" i="28"/>
  <c r="E234" i="28"/>
  <c r="B234" i="28"/>
  <c r="F233" i="28"/>
  <c r="E233" i="28"/>
  <c r="B233" i="28"/>
  <c r="F232" i="28"/>
  <c r="E232" i="28"/>
  <c r="B232" i="28"/>
  <c r="F231" i="28"/>
  <c r="E231" i="28"/>
  <c r="B231" i="28"/>
  <c r="F230" i="28"/>
  <c r="E230" i="28"/>
  <c r="B230" i="28"/>
  <c r="F229" i="28"/>
  <c r="E229" i="28"/>
  <c r="B229" i="28"/>
  <c r="F227" i="28"/>
  <c r="E227" i="28"/>
  <c r="B227" i="28"/>
  <c r="F226" i="28"/>
  <c r="E226" i="28"/>
  <c r="B226" i="28"/>
  <c r="F225" i="28"/>
  <c r="E225" i="28"/>
  <c r="B225" i="28"/>
  <c r="F224" i="28"/>
  <c r="E224" i="28"/>
  <c r="B224" i="28"/>
  <c r="F223" i="28"/>
  <c r="E223" i="28"/>
  <c r="B223" i="28"/>
  <c r="F222" i="28"/>
  <c r="E222" i="28"/>
  <c r="B222" i="28"/>
  <c r="F221" i="28"/>
  <c r="E221" i="28"/>
  <c r="B221" i="28"/>
  <c r="F220" i="28"/>
  <c r="E220" i="28"/>
  <c r="B220" i="28"/>
  <c r="F219" i="28"/>
  <c r="E219" i="28"/>
  <c r="B219" i="28"/>
  <c r="F218" i="28"/>
  <c r="E218" i="28"/>
  <c r="B218" i="28"/>
  <c r="F217" i="28"/>
  <c r="E217" i="28"/>
  <c r="B217" i="28"/>
  <c r="F215" i="28"/>
  <c r="E215" i="28"/>
  <c r="B215" i="28"/>
  <c r="F214" i="28"/>
  <c r="E214" i="28"/>
  <c r="B214" i="28"/>
  <c r="F213" i="28"/>
  <c r="E213" i="28"/>
  <c r="B213" i="28"/>
  <c r="F212" i="28"/>
  <c r="E212" i="28"/>
  <c r="B212" i="28"/>
  <c r="F211" i="28"/>
  <c r="E211" i="28"/>
  <c r="B211" i="28"/>
  <c r="F210" i="28"/>
  <c r="E210" i="28"/>
  <c r="B210" i="28"/>
  <c r="F209" i="28"/>
  <c r="E209" i="28"/>
  <c r="B209" i="28"/>
  <c r="F208" i="28"/>
  <c r="E208" i="28"/>
  <c r="B208" i="28"/>
  <c r="F207" i="28"/>
  <c r="E207" i="28"/>
  <c r="B207" i="28"/>
  <c r="F206" i="28"/>
  <c r="E206" i="28"/>
  <c r="B206" i="28"/>
  <c r="F205" i="28"/>
  <c r="E205" i="28"/>
  <c r="B205" i="28"/>
  <c r="F203" i="28"/>
  <c r="E203" i="28"/>
  <c r="B203" i="28"/>
  <c r="F202" i="28"/>
  <c r="E202" i="28"/>
  <c r="B202" i="28"/>
  <c r="F201" i="28"/>
  <c r="E201" i="28"/>
  <c r="B201" i="28"/>
  <c r="F200" i="28"/>
  <c r="E200" i="28"/>
  <c r="B200" i="28"/>
  <c r="F199" i="28"/>
  <c r="E199" i="28"/>
  <c r="B199" i="28"/>
  <c r="F198" i="28"/>
  <c r="E198" i="28"/>
  <c r="B198" i="28"/>
  <c r="F197" i="28"/>
  <c r="E197" i="28"/>
  <c r="B197" i="28"/>
  <c r="F196" i="28"/>
  <c r="E196" i="28"/>
  <c r="B196" i="28"/>
  <c r="F195" i="28"/>
  <c r="E195" i="28"/>
  <c r="B195" i="28"/>
  <c r="F194" i="28"/>
  <c r="E194" i="28"/>
  <c r="B194" i="28"/>
  <c r="F193" i="28"/>
  <c r="E193" i="28"/>
  <c r="B193" i="28"/>
  <c r="F191" i="28"/>
  <c r="E191" i="28"/>
  <c r="B191" i="28"/>
  <c r="F190" i="28"/>
  <c r="E190" i="28"/>
  <c r="B190" i="28"/>
  <c r="F189" i="28"/>
  <c r="E189" i="28"/>
  <c r="B189" i="28"/>
  <c r="F188" i="28"/>
  <c r="E188" i="28"/>
  <c r="B188" i="28"/>
  <c r="F187" i="28"/>
  <c r="E187" i="28"/>
  <c r="B187" i="28"/>
  <c r="F186" i="28"/>
  <c r="E186" i="28"/>
  <c r="B186" i="28"/>
  <c r="F185" i="28"/>
  <c r="E185" i="28"/>
  <c r="B185" i="28"/>
  <c r="F184" i="28"/>
  <c r="E184" i="28"/>
  <c r="B184" i="28"/>
  <c r="F183" i="28"/>
  <c r="E183" i="28"/>
  <c r="B183" i="28"/>
  <c r="F182" i="28"/>
  <c r="E182" i="28"/>
  <c r="B182" i="28"/>
  <c r="F181" i="28"/>
  <c r="E181" i="28"/>
  <c r="B181" i="28"/>
  <c r="F179" i="28"/>
  <c r="E179" i="28"/>
  <c r="B179" i="28"/>
  <c r="F178" i="28"/>
  <c r="E178" i="28"/>
  <c r="B178" i="28"/>
  <c r="F177" i="28"/>
  <c r="E177" i="28"/>
  <c r="B177" i="28"/>
  <c r="F176" i="28"/>
  <c r="E176" i="28"/>
  <c r="B176" i="28"/>
  <c r="F175" i="28"/>
  <c r="E175" i="28"/>
  <c r="B175" i="28"/>
  <c r="F174" i="28"/>
  <c r="E174" i="28"/>
  <c r="B174" i="28"/>
  <c r="F173" i="28"/>
  <c r="E173" i="28"/>
  <c r="B173" i="28"/>
  <c r="F172" i="28"/>
  <c r="E172" i="28"/>
  <c r="B172" i="28"/>
  <c r="F171" i="28"/>
  <c r="E171" i="28"/>
  <c r="B171" i="28"/>
  <c r="F170" i="28"/>
  <c r="E170" i="28"/>
  <c r="B170" i="28"/>
  <c r="F169" i="28"/>
  <c r="E169" i="28"/>
  <c r="B169" i="28"/>
  <c r="F167" i="28"/>
  <c r="E167" i="28"/>
  <c r="B167" i="28"/>
  <c r="F166" i="28"/>
  <c r="E166" i="28"/>
  <c r="B166" i="28"/>
  <c r="F165" i="28"/>
  <c r="E165" i="28"/>
  <c r="B165" i="28"/>
  <c r="F164" i="28"/>
  <c r="E164" i="28"/>
  <c r="B164" i="28"/>
  <c r="F163" i="28"/>
  <c r="E163" i="28"/>
  <c r="B163" i="28"/>
  <c r="F162" i="28"/>
  <c r="E162" i="28"/>
  <c r="B162" i="28"/>
  <c r="F161" i="28"/>
  <c r="E161" i="28"/>
  <c r="B161" i="28"/>
  <c r="F160" i="28"/>
  <c r="E160" i="28"/>
  <c r="B160" i="28"/>
  <c r="F159" i="28"/>
  <c r="E159" i="28"/>
  <c r="B159" i="28"/>
  <c r="F158" i="28"/>
  <c r="E158" i="28"/>
  <c r="B158" i="28"/>
  <c r="F157" i="28"/>
  <c r="E157" i="28"/>
  <c r="B157" i="28"/>
  <c r="F155" i="28"/>
  <c r="E155" i="28"/>
  <c r="B155" i="28"/>
  <c r="F154" i="28"/>
  <c r="E154" i="28"/>
  <c r="B154" i="28"/>
  <c r="F153" i="28"/>
  <c r="E153" i="28"/>
  <c r="B153" i="28"/>
  <c r="F152" i="28"/>
  <c r="E152" i="28"/>
  <c r="B152" i="28"/>
  <c r="F151" i="28"/>
  <c r="E151" i="28"/>
  <c r="B151" i="28"/>
  <c r="F150" i="28"/>
  <c r="E150" i="28"/>
  <c r="B150" i="28"/>
  <c r="F149" i="28"/>
  <c r="E149" i="28"/>
  <c r="B149" i="28"/>
  <c r="F148" i="28"/>
  <c r="E148" i="28"/>
  <c r="B148" i="28"/>
  <c r="F147" i="28"/>
  <c r="E147" i="28"/>
  <c r="B147" i="28"/>
  <c r="F146" i="28"/>
  <c r="E146" i="28"/>
  <c r="B146" i="28"/>
  <c r="F145" i="28"/>
  <c r="E145" i="28"/>
  <c r="B145" i="28"/>
  <c r="F143" i="28"/>
  <c r="E143" i="28"/>
  <c r="B143" i="28"/>
  <c r="F142" i="28"/>
  <c r="E142" i="28"/>
  <c r="B142" i="28"/>
  <c r="F141" i="28"/>
  <c r="E141" i="28"/>
  <c r="B141" i="28"/>
  <c r="F140" i="28"/>
  <c r="E140" i="28"/>
  <c r="B140" i="28"/>
  <c r="F139" i="28"/>
  <c r="E139" i="28"/>
  <c r="B139" i="28"/>
  <c r="F138" i="28"/>
  <c r="E138" i="28"/>
  <c r="B138" i="28"/>
  <c r="F137" i="28"/>
  <c r="E137" i="28"/>
  <c r="B137" i="28"/>
  <c r="F136" i="28"/>
  <c r="E136" i="28"/>
  <c r="B136" i="28"/>
  <c r="F135" i="28"/>
  <c r="E135" i="28"/>
  <c r="B135" i="28"/>
  <c r="F134" i="28"/>
  <c r="E134" i="28"/>
  <c r="B134" i="28"/>
  <c r="F133" i="28"/>
  <c r="E133" i="28"/>
  <c r="B133" i="28"/>
  <c r="F131" i="28"/>
  <c r="E131" i="28"/>
  <c r="B131" i="28"/>
  <c r="F130" i="28"/>
  <c r="E130" i="28"/>
  <c r="B130" i="28"/>
  <c r="F129" i="28"/>
  <c r="E129" i="28"/>
  <c r="B129" i="28"/>
  <c r="F128" i="28"/>
  <c r="E128" i="28"/>
  <c r="B128" i="28"/>
  <c r="F127" i="28"/>
  <c r="E127" i="28"/>
  <c r="B127" i="28"/>
  <c r="F126" i="28"/>
  <c r="E126" i="28"/>
  <c r="B126" i="28"/>
  <c r="F125" i="28"/>
  <c r="E125" i="28"/>
  <c r="B125" i="28"/>
  <c r="F124" i="28"/>
  <c r="E124" i="28"/>
  <c r="B124" i="28"/>
  <c r="F123" i="28"/>
  <c r="E123" i="28"/>
  <c r="B123" i="28"/>
  <c r="F122" i="28"/>
  <c r="E122" i="28"/>
  <c r="B122" i="28"/>
  <c r="F121" i="28"/>
  <c r="E121" i="28"/>
  <c r="B121" i="28"/>
  <c r="F119" i="28"/>
  <c r="E119" i="28"/>
  <c r="B119" i="28"/>
  <c r="F118" i="28"/>
  <c r="E118" i="28"/>
  <c r="B118" i="28"/>
  <c r="F117" i="28"/>
  <c r="E117" i="28"/>
  <c r="B117" i="28"/>
  <c r="F116" i="28"/>
  <c r="E116" i="28"/>
  <c r="B116" i="28"/>
  <c r="F115" i="28"/>
  <c r="E115" i="28"/>
  <c r="B115" i="28"/>
  <c r="F114" i="28"/>
  <c r="E114" i="28"/>
  <c r="B114" i="28"/>
  <c r="F113" i="28"/>
  <c r="E113" i="28"/>
  <c r="B113" i="28"/>
  <c r="F112" i="28"/>
  <c r="E112" i="28"/>
  <c r="B112" i="28"/>
  <c r="F111" i="28"/>
  <c r="E111" i="28"/>
  <c r="B111" i="28"/>
  <c r="F110" i="28"/>
  <c r="E110" i="28"/>
  <c r="B110" i="28"/>
  <c r="F109" i="28"/>
  <c r="E109" i="28"/>
  <c r="B109" i="28"/>
  <c r="F107" i="28"/>
  <c r="E107" i="28"/>
  <c r="B107" i="28"/>
  <c r="F106" i="28"/>
  <c r="E106" i="28"/>
  <c r="B106" i="28"/>
  <c r="F105" i="28"/>
  <c r="E105" i="28"/>
  <c r="B105" i="28"/>
  <c r="F104" i="28"/>
  <c r="E104" i="28"/>
  <c r="B104" i="28"/>
  <c r="F103" i="28"/>
  <c r="E103" i="28"/>
  <c r="B103" i="28"/>
  <c r="F102" i="28"/>
  <c r="E102" i="28"/>
  <c r="B102" i="28"/>
  <c r="F101" i="28"/>
  <c r="E101" i="28"/>
  <c r="B101" i="28"/>
  <c r="F100" i="28"/>
  <c r="E100" i="28"/>
  <c r="B100" i="28"/>
  <c r="F99" i="28"/>
  <c r="E99" i="28"/>
  <c r="B99" i="28"/>
  <c r="F98" i="28"/>
  <c r="E98" i="28"/>
  <c r="B98" i="28"/>
  <c r="F97" i="28"/>
  <c r="E97" i="28"/>
  <c r="B97" i="28"/>
  <c r="F95" i="28"/>
  <c r="E95" i="28"/>
  <c r="B95" i="28"/>
  <c r="F94" i="28"/>
  <c r="E94" i="28"/>
  <c r="B94" i="28"/>
  <c r="F93" i="28"/>
  <c r="E93" i="28"/>
  <c r="B93" i="28"/>
  <c r="F92" i="28"/>
  <c r="E92" i="28"/>
  <c r="B92" i="28"/>
  <c r="F91" i="28"/>
  <c r="E91" i="28"/>
  <c r="B91" i="28"/>
  <c r="F90" i="28"/>
  <c r="E90" i="28"/>
  <c r="B90" i="28"/>
  <c r="F89" i="28"/>
  <c r="E89" i="28"/>
  <c r="B89" i="28"/>
  <c r="F88" i="28"/>
  <c r="E88" i="28"/>
  <c r="B88" i="28"/>
  <c r="F87" i="28"/>
  <c r="E87" i="28"/>
  <c r="B87" i="28"/>
  <c r="F86" i="28"/>
  <c r="E86" i="28"/>
  <c r="B86" i="28"/>
  <c r="F85" i="28"/>
  <c r="E85" i="28"/>
  <c r="B85" i="28"/>
  <c r="F83" i="28"/>
  <c r="E83" i="28"/>
  <c r="B83" i="28"/>
  <c r="F82" i="28"/>
  <c r="E82" i="28"/>
  <c r="B82" i="28"/>
  <c r="F81" i="28"/>
  <c r="E81" i="28"/>
  <c r="B81" i="28"/>
  <c r="F80" i="28"/>
  <c r="E80" i="28"/>
  <c r="B80" i="28"/>
  <c r="F79" i="28"/>
  <c r="E79" i="28"/>
  <c r="B79" i="28"/>
  <c r="F78" i="28"/>
  <c r="E78" i="28"/>
  <c r="B78" i="28"/>
  <c r="F77" i="28"/>
  <c r="E77" i="28"/>
  <c r="B77" i="28"/>
  <c r="F76" i="28"/>
  <c r="E76" i="28"/>
  <c r="B76" i="28"/>
  <c r="F75" i="28"/>
  <c r="E75" i="28"/>
  <c r="B75" i="28"/>
  <c r="F74" i="28"/>
  <c r="E74" i="28"/>
  <c r="B74" i="28"/>
  <c r="F73" i="28"/>
  <c r="E73" i="28"/>
  <c r="B73" i="28"/>
  <c r="AM71" i="28"/>
  <c r="AL71" i="28"/>
  <c r="AK71" i="28"/>
  <c r="AJ71" i="28"/>
  <c r="AI71" i="28"/>
  <c r="AH71" i="28"/>
  <c r="AG71" i="28"/>
  <c r="AF71" i="28"/>
  <c r="AE71" i="28"/>
  <c r="AD71" i="28"/>
  <c r="AC71" i="28"/>
  <c r="AB71" i="28"/>
  <c r="AA71" i="28"/>
  <c r="Z71" i="28"/>
  <c r="Y71" i="28"/>
  <c r="X71" i="28"/>
  <c r="W71" i="28"/>
  <c r="V71" i="28"/>
  <c r="U71" i="28"/>
  <c r="T71" i="28"/>
  <c r="S71" i="28"/>
  <c r="R71" i="28"/>
  <c r="Q71" i="28"/>
  <c r="P71" i="28"/>
  <c r="O71" i="28"/>
  <c r="N71" i="28"/>
  <c r="M71" i="28"/>
  <c r="L71" i="28"/>
  <c r="K71" i="28"/>
  <c r="J71" i="28"/>
  <c r="I71" i="28"/>
  <c r="E71" i="28"/>
  <c r="F66" i="28"/>
  <c r="E66" i="28"/>
  <c r="B66" i="28"/>
  <c r="F65" i="28"/>
  <c r="E65" i="28"/>
  <c r="B65" i="28"/>
  <c r="F64" i="28"/>
  <c r="E64" i="28"/>
  <c r="B64" i="28"/>
  <c r="F63" i="28"/>
  <c r="E63" i="28"/>
  <c r="B63" i="28"/>
  <c r="F62" i="28"/>
  <c r="E62" i="28"/>
  <c r="B62" i="28"/>
  <c r="F61" i="28"/>
  <c r="E61" i="28"/>
  <c r="B61" i="28"/>
  <c r="F60" i="28"/>
  <c r="E60" i="28"/>
  <c r="B60" i="28"/>
  <c r="F59" i="28"/>
  <c r="E59" i="28"/>
  <c r="B59" i="28"/>
  <c r="F58" i="28"/>
  <c r="E58" i="28"/>
  <c r="B58" i="28"/>
  <c r="F57" i="28"/>
  <c r="E57" i="28"/>
  <c r="B57" i="28"/>
  <c r="F56" i="28"/>
  <c r="E56" i="28"/>
  <c r="B56" i="28"/>
  <c r="F55" i="28"/>
  <c r="E55" i="28"/>
  <c r="B55" i="28"/>
  <c r="F54" i="28"/>
  <c r="E54" i="28"/>
  <c r="B54" i="28"/>
  <c r="F53" i="28"/>
  <c r="E53" i="28"/>
  <c r="B53" i="28"/>
  <c r="F52" i="28"/>
  <c r="E52" i="28"/>
  <c r="B52" i="28"/>
  <c r="D51" i="28"/>
  <c r="C51" i="28"/>
  <c r="F51" i="28"/>
  <c r="E51" i="28"/>
  <c r="B51" i="28"/>
  <c r="AM49" i="28"/>
  <c r="AL49" i="28"/>
  <c r="AK49" i="28"/>
  <c r="AJ49" i="28"/>
  <c r="AI49" i="28"/>
  <c r="AH49" i="28"/>
  <c r="AG49" i="28"/>
  <c r="AF49" i="28"/>
  <c r="AE49" i="28"/>
  <c r="AD49" i="28"/>
  <c r="AC49" i="28"/>
  <c r="AB49" i="28"/>
  <c r="AA49" i="28"/>
  <c r="Z49" i="28"/>
  <c r="Y49" i="28"/>
  <c r="X49" i="28"/>
  <c r="W49" i="28"/>
  <c r="V49" i="28"/>
  <c r="U49" i="28"/>
  <c r="T49" i="28"/>
  <c r="S49" i="28"/>
  <c r="R49" i="28"/>
  <c r="Q49" i="28"/>
  <c r="P49" i="28"/>
  <c r="O49" i="28"/>
  <c r="N49" i="28"/>
  <c r="M49" i="28"/>
  <c r="L49" i="28"/>
  <c r="K49" i="28"/>
  <c r="J49" i="28"/>
  <c r="I49" i="28"/>
  <c r="D49" i="28"/>
  <c r="C49" i="28"/>
  <c r="E49" i="28"/>
  <c r="E41" i="28"/>
  <c r="C41" i="28"/>
  <c r="B41" i="28"/>
  <c r="E40" i="28"/>
  <c r="C40" i="28"/>
  <c r="B40" i="28"/>
  <c r="E39" i="28"/>
  <c r="C39" i="28"/>
  <c r="B39" i="28"/>
  <c r="E38" i="28"/>
  <c r="C38" i="28"/>
  <c r="B38" i="28"/>
  <c r="E37" i="28"/>
  <c r="C37" i="28"/>
  <c r="B37" i="28"/>
  <c r="E36" i="28"/>
  <c r="C36" i="28"/>
  <c r="B36" i="28"/>
  <c r="E35" i="28"/>
  <c r="C35" i="28"/>
  <c r="B35" i="28"/>
  <c r="E34" i="28"/>
  <c r="C34" i="28"/>
  <c r="B34" i="28"/>
  <c r="E33" i="28"/>
  <c r="C33" i="28"/>
  <c r="B33" i="28"/>
  <c r="E32" i="28"/>
  <c r="C32" i="28"/>
  <c r="B32" i="28"/>
  <c r="E31" i="28"/>
  <c r="C31" i="28"/>
  <c r="B31" i="28"/>
  <c r="E30" i="28"/>
  <c r="C30" i="28"/>
  <c r="B30" i="28"/>
  <c r="E29" i="28"/>
  <c r="C29" i="28"/>
  <c r="B29" i="28"/>
  <c r="E28" i="28"/>
  <c r="C28" i="28"/>
  <c r="B28" i="28"/>
  <c r="E27" i="28"/>
  <c r="C27" i="28"/>
  <c r="B27" i="28"/>
  <c r="D17" i="28"/>
  <c r="D16" i="28"/>
  <c r="E23" i="28"/>
  <c r="B23" i="28"/>
  <c r="D19" i="28"/>
  <c r="D9" i="28"/>
  <c r="D10" i="28"/>
  <c r="D12" i="28"/>
  <c r="AM254" i="27"/>
  <c r="AL254" i="27"/>
  <c r="AK254" i="27"/>
  <c r="AJ254" i="27"/>
  <c r="AI254" i="27"/>
  <c r="AH254" i="27"/>
  <c r="AG254" i="27"/>
  <c r="AF254" i="27"/>
  <c r="AE254" i="27"/>
  <c r="AD254" i="27"/>
  <c r="AC254" i="27"/>
  <c r="AB254" i="27"/>
  <c r="AA254" i="27"/>
  <c r="Z254" i="27"/>
  <c r="Y254" i="27"/>
  <c r="X254" i="27"/>
  <c r="W254" i="27"/>
  <c r="V254" i="27"/>
  <c r="U254" i="27"/>
  <c r="T254" i="27"/>
  <c r="S254" i="27"/>
  <c r="R254" i="27"/>
  <c r="Q254" i="27"/>
  <c r="P254" i="27"/>
  <c r="O254" i="27"/>
  <c r="N254" i="27"/>
  <c r="M254" i="27"/>
  <c r="L254" i="27"/>
  <c r="K254" i="27"/>
  <c r="J254" i="27"/>
  <c r="I254" i="27"/>
  <c r="C73" i="27"/>
  <c r="C85" i="27"/>
  <c r="C97" i="27"/>
  <c r="C109" i="27"/>
  <c r="C121" i="27"/>
  <c r="C133" i="27"/>
  <c r="C145" i="27"/>
  <c r="C157" i="27"/>
  <c r="C169" i="27"/>
  <c r="C181" i="27"/>
  <c r="C193" i="27"/>
  <c r="C205" i="27"/>
  <c r="C217" i="27"/>
  <c r="C229" i="27"/>
  <c r="C241" i="27"/>
  <c r="C71" i="27"/>
  <c r="C254" i="27"/>
  <c r="D73" i="27"/>
  <c r="D85" i="27"/>
  <c r="D97" i="27"/>
  <c r="D109" i="27"/>
  <c r="D121" i="27"/>
  <c r="D133" i="27"/>
  <c r="D145" i="27"/>
  <c r="D157" i="27"/>
  <c r="D169" i="27"/>
  <c r="D181" i="27"/>
  <c r="D193" i="27"/>
  <c r="D205" i="27"/>
  <c r="D217" i="27"/>
  <c r="D229" i="27"/>
  <c r="D241" i="27"/>
  <c r="D71" i="27"/>
  <c r="D254" i="27"/>
  <c r="E254" i="27"/>
  <c r="F251" i="27"/>
  <c r="E251" i="27"/>
  <c r="B251" i="27"/>
  <c r="F250" i="27"/>
  <c r="E250" i="27"/>
  <c r="B250" i="27"/>
  <c r="F249" i="27"/>
  <c r="E249" i="27"/>
  <c r="B249" i="27"/>
  <c r="F248" i="27"/>
  <c r="E248" i="27"/>
  <c r="B248" i="27"/>
  <c r="F247" i="27"/>
  <c r="E247" i="27"/>
  <c r="B247" i="27"/>
  <c r="F246" i="27"/>
  <c r="E246" i="27"/>
  <c r="B246" i="27"/>
  <c r="F245" i="27"/>
  <c r="E245" i="27"/>
  <c r="B245" i="27"/>
  <c r="F244" i="27"/>
  <c r="E244" i="27"/>
  <c r="B244" i="27"/>
  <c r="F243" i="27"/>
  <c r="E243" i="27"/>
  <c r="B243" i="27"/>
  <c r="F242" i="27"/>
  <c r="E242" i="27"/>
  <c r="B242" i="27"/>
  <c r="F241" i="27"/>
  <c r="E241" i="27"/>
  <c r="B241" i="27"/>
  <c r="F239" i="27"/>
  <c r="E239" i="27"/>
  <c r="B239" i="27"/>
  <c r="F238" i="27"/>
  <c r="E238" i="27"/>
  <c r="B238" i="27"/>
  <c r="F237" i="27"/>
  <c r="E237" i="27"/>
  <c r="B237" i="27"/>
  <c r="F236" i="27"/>
  <c r="E236" i="27"/>
  <c r="B236" i="27"/>
  <c r="F235" i="27"/>
  <c r="E235" i="27"/>
  <c r="B235" i="27"/>
  <c r="F234" i="27"/>
  <c r="E234" i="27"/>
  <c r="B234" i="27"/>
  <c r="F233" i="27"/>
  <c r="E233" i="27"/>
  <c r="B233" i="27"/>
  <c r="F232" i="27"/>
  <c r="E232" i="27"/>
  <c r="B232" i="27"/>
  <c r="F231" i="27"/>
  <c r="E231" i="27"/>
  <c r="B231" i="27"/>
  <c r="F230" i="27"/>
  <c r="E230" i="27"/>
  <c r="B230" i="27"/>
  <c r="F229" i="27"/>
  <c r="E229" i="27"/>
  <c r="B229" i="27"/>
  <c r="F227" i="27"/>
  <c r="E227" i="27"/>
  <c r="B227" i="27"/>
  <c r="F226" i="27"/>
  <c r="E226" i="27"/>
  <c r="B226" i="27"/>
  <c r="F225" i="27"/>
  <c r="E225" i="27"/>
  <c r="B225" i="27"/>
  <c r="F224" i="27"/>
  <c r="E224" i="27"/>
  <c r="B224" i="27"/>
  <c r="F223" i="27"/>
  <c r="E223" i="27"/>
  <c r="B223" i="27"/>
  <c r="F222" i="27"/>
  <c r="E222" i="27"/>
  <c r="B222" i="27"/>
  <c r="F221" i="27"/>
  <c r="E221" i="27"/>
  <c r="B221" i="27"/>
  <c r="F220" i="27"/>
  <c r="E220" i="27"/>
  <c r="B220" i="27"/>
  <c r="F219" i="27"/>
  <c r="E219" i="27"/>
  <c r="B219" i="27"/>
  <c r="F218" i="27"/>
  <c r="E218" i="27"/>
  <c r="B218" i="27"/>
  <c r="F217" i="27"/>
  <c r="E217" i="27"/>
  <c r="B217" i="27"/>
  <c r="F215" i="27"/>
  <c r="E215" i="27"/>
  <c r="B215" i="27"/>
  <c r="F214" i="27"/>
  <c r="E214" i="27"/>
  <c r="B214" i="27"/>
  <c r="F213" i="27"/>
  <c r="E213" i="27"/>
  <c r="B213" i="27"/>
  <c r="F212" i="27"/>
  <c r="E212" i="27"/>
  <c r="B212" i="27"/>
  <c r="F211" i="27"/>
  <c r="E211" i="27"/>
  <c r="B211" i="27"/>
  <c r="F210" i="27"/>
  <c r="E210" i="27"/>
  <c r="B210" i="27"/>
  <c r="F209" i="27"/>
  <c r="E209" i="27"/>
  <c r="B209" i="27"/>
  <c r="F208" i="27"/>
  <c r="E208" i="27"/>
  <c r="B208" i="27"/>
  <c r="F207" i="27"/>
  <c r="E207" i="27"/>
  <c r="B207" i="27"/>
  <c r="F206" i="27"/>
  <c r="E206" i="27"/>
  <c r="B206" i="27"/>
  <c r="F205" i="27"/>
  <c r="E205" i="27"/>
  <c r="B205" i="27"/>
  <c r="F203" i="27"/>
  <c r="E203" i="27"/>
  <c r="B203" i="27"/>
  <c r="F202" i="27"/>
  <c r="E202" i="27"/>
  <c r="B202" i="27"/>
  <c r="F201" i="27"/>
  <c r="E201" i="27"/>
  <c r="B201" i="27"/>
  <c r="F200" i="27"/>
  <c r="E200" i="27"/>
  <c r="B200" i="27"/>
  <c r="F199" i="27"/>
  <c r="E199" i="27"/>
  <c r="B199" i="27"/>
  <c r="F198" i="27"/>
  <c r="E198" i="27"/>
  <c r="B198" i="27"/>
  <c r="F197" i="27"/>
  <c r="E197" i="27"/>
  <c r="B197" i="27"/>
  <c r="F196" i="27"/>
  <c r="E196" i="27"/>
  <c r="B196" i="27"/>
  <c r="F195" i="27"/>
  <c r="E195" i="27"/>
  <c r="B195" i="27"/>
  <c r="F194" i="27"/>
  <c r="E194" i="27"/>
  <c r="B194" i="27"/>
  <c r="F193" i="27"/>
  <c r="E193" i="27"/>
  <c r="B193" i="27"/>
  <c r="F191" i="27"/>
  <c r="E191" i="27"/>
  <c r="B191" i="27"/>
  <c r="F190" i="27"/>
  <c r="E190" i="27"/>
  <c r="B190" i="27"/>
  <c r="F189" i="27"/>
  <c r="E189" i="27"/>
  <c r="B189" i="27"/>
  <c r="F188" i="27"/>
  <c r="E188" i="27"/>
  <c r="B188" i="27"/>
  <c r="F187" i="27"/>
  <c r="E187" i="27"/>
  <c r="B187" i="27"/>
  <c r="F186" i="27"/>
  <c r="E186" i="27"/>
  <c r="B186" i="27"/>
  <c r="F185" i="27"/>
  <c r="E185" i="27"/>
  <c r="B185" i="27"/>
  <c r="F184" i="27"/>
  <c r="E184" i="27"/>
  <c r="B184" i="27"/>
  <c r="F183" i="27"/>
  <c r="E183" i="27"/>
  <c r="B183" i="27"/>
  <c r="F182" i="27"/>
  <c r="E182" i="27"/>
  <c r="B182" i="27"/>
  <c r="F181" i="27"/>
  <c r="E181" i="27"/>
  <c r="B181" i="27"/>
  <c r="F179" i="27"/>
  <c r="E179" i="27"/>
  <c r="B179" i="27"/>
  <c r="F178" i="27"/>
  <c r="E178" i="27"/>
  <c r="B178" i="27"/>
  <c r="F177" i="27"/>
  <c r="E177" i="27"/>
  <c r="B177" i="27"/>
  <c r="F176" i="27"/>
  <c r="E176" i="27"/>
  <c r="B176" i="27"/>
  <c r="F175" i="27"/>
  <c r="E175" i="27"/>
  <c r="B175" i="27"/>
  <c r="F174" i="27"/>
  <c r="E174" i="27"/>
  <c r="B174" i="27"/>
  <c r="F173" i="27"/>
  <c r="E173" i="27"/>
  <c r="B173" i="27"/>
  <c r="F172" i="27"/>
  <c r="E172" i="27"/>
  <c r="B172" i="27"/>
  <c r="F171" i="27"/>
  <c r="E171" i="27"/>
  <c r="B171" i="27"/>
  <c r="F170" i="27"/>
  <c r="E170" i="27"/>
  <c r="B170" i="27"/>
  <c r="F169" i="27"/>
  <c r="E169" i="27"/>
  <c r="B169" i="27"/>
  <c r="F167" i="27"/>
  <c r="E167" i="27"/>
  <c r="B167" i="27"/>
  <c r="F166" i="27"/>
  <c r="E166" i="27"/>
  <c r="B166" i="27"/>
  <c r="F165" i="27"/>
  <c r="E165" i="27"/>
  <c r="B165" i="27"/>
  <c r="F164" i="27"/>
  <c r="E164" i="27"/>
  <c r="B164" i="27"/>
  <c r="F163" i="27"/>
  <c r="E163" i="27"/>
  <c r="B163" i="27"/>
  <c r="F162" i="27"/>
  <c r="E162" i="27"/>
  <c r="B162" i="27"/>
  <c r="F161" i="27"/>
  <c r="E161" i="27"/>
  <c r="B161" i="27"/>
  <c r="F160" i="27"/>
  <c r="E160" i="27"/>
  <c r="B160" i="27"/>
  <c r="F159" i="27"/>
  <c r="E159" i="27"/>
  <c r="B159" i="27"/>
  <c r="F158" i="27"/>
  <c r="E158" i="27"/>
  <c r="B158" i="27"/>
  <c r="F157" i="27"/>
  <c r="E157" i="27"/>
  <c r="B157" i="27"/>
  <c r="F155" i="27"/>
  <c r="E155" i="27"/>
  <c r="B155" i="27"/>
  <c r="F154" i="27"/>
  <c r="E154" i="27"/>
  <c r="B154" i="27"/>
  <c r="F153" i="27"/>
  <c r="E153" i="27"/>
  <c r="B153" i="27"/>
  <c r="F152" i="27"/>
  <c r="E152" i="27"/>
  <c r="B152" i="27"/>
  <c r="F151" i="27"/>
  <c r="E151" i="27"/>
  <c r="B151" i="27"/>
  <c r="F150" i="27"/>
  <c r="E150" i="27"/>
  <c r="B150" i="27"/>
  <c r="F149" i="27"/>
  <c r="E149" i="27"/>
  <c r="B149" i="27"/>
  <c r="F148" i="27"/>
  <c r="E148" i="27"/>
  <c r="B148" i="27"/>
  <c r="F147" i="27"/>
  <c r="E147" i="27"/>
  <c r="B147" i="27"/>
  <c r="F146" i="27"/>
  <c r="E146" i="27"/>
  <c r="B146" i="27"/>
  <c r="F145" i="27"/>
  <c r="E145" i="27"/>
  <c r="B145" i="27"/>
  <c r="F143" i="27"/>
  <c r="E143" i="27"/>
  <c r="B143" i="27"/>
  <c r="F142" i="27"/>
  <c r="E142" i="27"/>
  <c r="B142" i="27"/>
  <c r="F141" i="27"/>
  <c r="E141" i="27"/>
  <c r="B141" i="27"/>
  <c r="F140" i="27"/>
  <c r="E140" i="27"/>
  <c r="B140" i="27"/>
  <c r="F139" i="27"/>
  <c r="E139" i="27"/>
  <c r="B139" i="27"/>
  <c r="F138" i="27"/>
  <c r="E138" i="27"/>
  <c r="B138" i="27"/>
  <c r="F137" i="27"/>
  <c r="E137" i="27"/>
  <c r="B137" i="27"/>
  <c r="F136" i="27"/>
  <c r="E136" i="27"/>
  <c r="B136" i="27"/>
  <c r="F135" i="27"/>
  <c r="E135" i="27"/>
  <c r="B135" i="27"/>
  <c r="F134" i="27"/>
  <c r="E134" i="27"/>
  <c r="B134" i="27"/>
  <c r="F133" i="27"/>
  <c r="E133" i="27"/>
  <c r="B133" i="27"/>
  <c r="F131" i="27"/>
  <c r="E131" i="27"/>
  <c r="B131" i="27"/>
  <c r="F130" i="27"/>
  <c r="E130" i="27"/>
  <c r="B130" i="27"/>
  <c r="F129" i="27"/>
  <c r="E129" i="27"/>
  <c r="B129" i="27"/>
  <c r="F128" i="27"/>
  <c r="E128" i="27"/>
  <c r="B128" i="27"/>
  <c r="F127" i="27"/>
  <c r="E127" i="27"/>
  <c r="B127" i="27"/>
  <c r="F126" i="27"/>
  <c r="E126" i="27"/>
  <c r="B126" i="27"/>
  <c r="F125" i="27"/>
  <c r="E125" i="27"/>
  <c r="B125" i="27"/>
  <c r="F124" i="27"/>
  <c r="E124" i="27"/>
  <c r="B124" i="27"/>
  <c r="F123" i="27"/>
  <c r="E123" i="27"/>
  <c r="B123" i="27"/>
  <c r="F122" i="27"/>
  <c r="E122" i="27"/>
  <c r="B122" i="27"/>
  <c r="F121" i="27"/>
  <c r="E121" i="27"/>
  <c r="B121" i="27"/>
  <c r="F119" i="27"/>
  <c r="E119" i="27"/>
  <c r="B119" i="27"/>
  <c r="F118" i="27"/>
  <c r="E118" i="27"/>
  <c r="B118" i="27"/>
  <c r="F117" i="27"/>
  <c r="E117" i="27"/>
  <c r="B117" i="27"/>
  <c r="F116" i="27"/>
  <c r="E116" i="27"/>
  <c r="B116" i="27"/>
  <c r="F115" i="27"/>
  <c r="E115" i="27"/>
  <c r="B115" i="27"/>
  <c r="F114" i="27"/>
  <c r="E114" i="27"/>
  <c r="B114" i="27"/>
  <c r="F113" i="27"/>
  <c r="E113" i="27"/>
  <c r="B113" i="27"/>
  <c r="F112" i="27"/>
  <c r="E112" i="27"/>
  <c r="B112" i="27"/>
  <c r="F111" i="27"/>
  <c r="E111" i="27"/>
  <c r="B111" i="27"/>
  <c r="F110" i="27"/>
  <c r="E110" i="27"/>
  <c r="B110" i="27"/>
  <c r="F109" i="27"/>
  <c r="E109" i="27"/>
  <c r="B109" i="27"/>
  <c r="F107" i="27"/>
  <c r="E107" i="27"/>
  <c r="B107" i="27"/>
  <c r="F106" i="27"/>
  <c r="E106" i="27"/>
  <c r="B106" i="27"/>
  <c r="F105" i="27"/>
  <c r="E105" i="27"/>
  <c r="B105" i="27"/>
  <c r="F104" i="27"/>
  <c r="E104" i="27"/>
  <c r="B104" i="27"/>
  <c r="F103" i="27"/>
  <c r="E103" i="27"/>
  <c r="B103" i="27"/>
  <c r="F102" i="27"/>
  <c r="E102" i="27"/>
  <c r="B102" i="27"/>
  <c r="F101" i="27"/>
  <c r="E101" i="27"/>
  <c r="B101" i="27"/>
  <c r="F100" i="27"/>
  <c r="E100" i="27"/>
  <c r="B100" i="27"/>
  <c r="F99" i="27"/>
  <c r="E99" i="27"/>
  <c r="B99" i="27"/>
  <c r="F98" i="27"/>
  <c r="E98" i="27"/>
  <c r="B98" i="27"/>
  <c r="F97" i="27"/>
  <c r="E97" i="27"/>
  <c r="B97" i="27"/>
  <c r="F95" i="27"/>
  <c r="E95" i="27"/>
  <c r="B95" i="27"/>
  <c r="F94" i="27"/>
  <c r="E94" i="27"/>
  <c r="B94" i="27"/>
  <c r="F93" i="27"/>
  <c r="E93" i="27"/>
  <c r="B93" i="27"/>
  <c r="F92" i="27"/>
  <c r="E92" i="27"/>
  <c r="B92" i="27"/>
  <c r="F91" i="27"/>
  <c r="E91" i="27"/>
  <c r="B91" i="27"/>
  <c r="F90" i="27"/>
  <c r="E90" i="27"/>
  <c r="B90" i="27"/>
  <c r="F89" i="27"/>
  <c r="E89" i="27"/>
  <c r="B89" i="27"/>
  <c r="F88" i="27"/>
  <c r="E88" i="27"/>
  <c r="B88" i="27"/>
  <c r="F87" i="27"/>
  <c r="E87" i="27"/>
  <c r="B87" i="27"/>
  <c r="F86" i="27"/>
  <c r="E86" i="27"/>
  <c r="B86" i="27"/>
  <c r="F85" i="27"/>
  <c r="E85" i="27"/>
  <c r="B85" i="27"/>
  <c r="F83" i="27"/>
  <c r="E83" i="27"/>
  <c r="B83" i="27"/>
  <c r="F82" i="27"/>
  <c r="E82" i="27"/>
  <c r="B82" i="27"/>
  <c r="F81" i="27"/>
  <c r="E81" i="27"/>
  <c r="B81" i="27"/>
  <c r="F80" i="27"/>
  <c r="E80" i="27"/>
  <c r="B80" i="27"/>
  <c r="F79" i="27"/>
  <c r="E79" i="27"/>
  <c r="B79" i="27"/>
  <c r="F78" i="27"/>
  <c r="E78" i="27"/>
  <c r="B78" i="27"/>
  <c r="F77" i="27"/>
  <c r="E77" i="27"/>
  <c r="B77" i="27"/>
  <c r="F76" i="27"/>
  <c r="E76" i="27"/>
  <c r="B76" i="27"/>
  <c r="F75" i="27"/>
  <c r="E75" i="27"/>
  <c r="B75" i="27"/>
  <c r="F74" i="27"/>
  <c r="E74" i="27"/>
  <c r="B74" i="27"/>
  <c r="F73" i="27"/>
  <c r="E73" i="27"/>
  <c r="B73" i="27"/>
  <c r="AM71" i="27"/>
  <c r="AL71" i="27"/>
  <c r="AK71" i="27"/>
  <c r="AJ71" i="27"/>
  <c r="AI71" i="27"/>
  <c r="AH71" i="27"/>
  <c r="AG71" i="27"/>
  <c r="AF71" i="27"/>
  <c r="AE71" i="27"/>
  <c r="AD71" i="27"/>
  <c r="AC71" i="27"/>
  <c r="AB71" i="27"/>
  <c r="AA71" i="27"/>
  <c r="Z71" i="27"/>
  <c r="Y71" i="27"/>
  <c r="X71" i="27"/>
  <c r="W71" i="27"/>
  <c r="V71" i="27"/>
  <c r="U71" i="27"/>
  <c r="T71" i="27"/>
  <c r="S71" i="27"/>
  <c r="R71" i="27"/>
  <c r="Q71" i="27"/>
  <c r="P71" i="27"/>
  <c r="O71" i="27"/>
  <c r="N71" i="27"/>
  <c r="M71" i="27"/>
  <c r="L71" i="27"/>
  <c r="K71" i="27"/>
  <c r="J71" i="27"/>
  <c r="I71" i="27"/>
  <c r="E71" i="27"/>
  <c r="F66" i="27"/>
  <c r="E66" i="27"/>
  <c r="B66" i="27"/>
  <c r="F65" i="27"/>
  <c r="E65" i="27"/>
  <c r="B65" i="27"/>
  <c r="F64" i="27"/>
  <c r="E64" i="27"/>
  <c r="B64" i="27"/>
  <c r="F63" i="27"/>
  <c r="E63" i="27"/>
  <c r="B63" i="27"/>
  <c r="F62" i="27"/>
  <c r="E62" i="27"/>
  <c r="B62" i="27"/>
  <c r="F61" i="27"/>
  <c r="E61" i="27"/>
  <c r="B61" i="27"/>
  <c r="F60" i="27"/>
  <c r="E60" i="27"/>
  <c r="B60" i="27"/>
  <c r="F59" i="27"/>
  <c r="E59" i="27"/>
  <c r="B59" i="27"/>
  <c r="F58" i="27"/>
  <c r="E58" i="27"/>
  <c r="B58" i="27"/>
  <c r="F57" i="27"/>
  <c r="E57" i="27"/>
  <c r="B57" i="27"/>
  <c r="F56" i="27"/>
  <c r="E56" i="27"/>
  <c r="B56" i="27"/>
  <c r="F55" i="27"/>
  <c r="E55" i="27"/>
  <c r="B55" i="27"/>
  <c r="F54" i="27"/>
  <c r="E54" i="27"/>
  <c r="B54" i="27"/>
  <c r="F53" i="27"/>
  <c r="E53" i="27"/>
  <c r="B53" i="27"/>
  <c r="F52" i="27"/>
  <c r="E52" i="27"/>
  <c r="B52" i="27"/>
  <c r="D51" i="27"/>
  <c r="C51" i="27"/>
  <c r="F51" i="27"/>
  <c r="E51" i="27"/>
  <c r="B51" i="27"/>
  <c r="AM49" i="27"/>
  <c r="AL49" i="27"/>
  <c r="AK49" i="27"/>
  <c r="AJ49" i="27"/>
  <c r="AI49" i="27"/>
  <c r="AH49" i="27"/>
  <c r="AG49" i="27"/>
  <c r="AF49" i="27"/>
  <c r="AE49" i="27"/>
  <c r="AD49" i="27"/>
  <c r="AC49" i="27"/>
  <c r="AB49" i="27"/>
  <c r="AA49" i="27"/>
  <c r="Z49" i="27"/>
  <c r="Y49" i="27"/>
  <c r="X49" i="27"/>
  <c r="W49" i="27"/>
  <c r="V49" i="27"/>
  <c r="U49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D49" i="27"/>
  <c r="C49" i="27"/>
  <c r="E49" i="27"/>
  <c r="E41" i="27"/>
  <c r="C41" i="27"/>
  <c r="B41" i="27"/>
  <c r="E40" i="27"/>
  <c r="C40" i="27"/>
  <c r="B40" i="27"/>
  <c r="E39" i="27"/>
  <c r="C39" i="27"/>
  <c r="B39" i="27"/>
  <c r="E38" i="27"/>
  <c r="C38" i="27"/>
  <c r="B38" i="27"/>
  <c r="E37" i="27"/>
  <c r="C37" i="27"/>
  <c r="B37" i="27"/>
  <c r="E36" i="27"/>
  <c r="C36" i="27"/>
  <c r="B36" i="27"/>
  <c r="E35" i="27"/>
  <c r="C35" i="27"/>
  <c r="B35" i="27"/>
  <c r="E34" i="27"/>
  <c r="C34" i="27"/>
  <c r="B34" i="27"/>
  <c r="E33" i="27"/>
  <c r="C33" i="27"/>
  <c r="B33" i="27"/>
  <c r="E32" i="27"/>
  <c r="C32" i="27"/>
  <c r="B32" i="27"/>
  <c r="E31" i="27"/>
  <c r="C31" i="27"/>
  <c r="B31" i="27"/>
  <c r="E30" i="27"/>
  <c r="C30" i="27"/>
  <c r="B30" i="27"/>
  <c r="E29" i="27"/>
  <c r="C29" i="27"/>
  <c r="B29" i="27"/>
  <c r="E28" i="27"/>
  <c r="C28" i="27"/>
  <c r="B28" i="27"/>
  <c r="E27" i="27"/>
  <c r="C27" i="27"/>
  <c r="B27" i="27"/>
  <c r="D17" i="27"/>
  <c r="D16" i="27"/>
  <c r="E23" i="27"/>
  <c r="B23" i="27"/>
  <c r="D19" i="27"/>
  <c r="D9" i="27"/>
  <c r="D10" i="27"/>
  <c r="D12" i="27"/>
  <c r="AM254" i="26"/>
  <c r="AL254" i="26"/>
  <c r="AK254" i="26"/>
  <c r="AJ254" i="26"/>
  <c r="AI254" i="26"/>
  <c r="AH254" i="26"/>
  <c r="AG254" i="26"/>
  <c r="AF254" i="26"/>
  <c r="AE254" i="26"/>
  <c r="AD254" i="26"/>
  <c r="AC254" i="26"/>
  <c r="AB254" i="26"/>
  <c r="AA254" i="26"/>
  <c r="Z254" i="26"/>
  <c r="Y254" i="26"/>
  <c r="X254" i="26"/>
  <c r="W254" i="26"/>
  <c r="V254" i="26"/>
  <c r="U254" i="26"/>
  <c r="T254" i="26"/>
  <c r="S254" i="26"/>
  <c r="R254" i="26"/>
  <c r="Q254" i="26"/>
  <c r="P254" i="26"/>
  <c r="O254" i="26"/>
  <c r="N254" i="26"/>
  <c r="M254" i="26"/>
  <c r="L254" i="26"/>
  <c r="K254" i="26"/>
  <c r="J254" i="26"/>
  <c r="I254" i="26"/>
  <c r="C73" i="26"/>
  <c r="C85" i="26"/>
  <c r="C97" i="26"/>
  <c r="C109" i="26"/>
  <c r="C121" i="26"/>
  <c r="C133" i="26"/>
  <c r="C145" i="26"/>
  <c r="C157" i="26"/>
  <c r="C169" i="26"/>
  <c r="C181" i="26"/>
  <c r="C193" i="26"/>
  <c r="C205" i="26"/>
  <c r="C217" i="26"/>
  <c r="C229" i="26"/>
  <c r="C241" i="26"/>
  <c r="C71" i="26"/>
  <c r="C254" i="26"/>
  <c r="D73" i="26"/>
  <c r="D85" i="26"/>
  <c r="D97" i="26"/>
  <c r="D109" i="26"/>
  <c r="D121" i="26"/>
  <c r="D133" i="26"/>
  <c r="D145" i="26"/>
  <c r="D157" i="26"/>
  <c r="D169" i="26"/>
  <c r="D181" i="26"/>
  <c r="D193" i="26"/>
  <c r="D205" i="26"/>
  <c r="D217" i="26"/>
  <c r="D229" i="26"/>
  <c r="D241" i="26"/>
  <c r="D71" i="26"/>
  <c r="D254" i="26"/>
  <c r="E254" i="26"/>
  <c r="F251" i="26"/>
  <c r="E251" i="26"/>
  <c r="B251" i="26"/>
  <c r="F250" i="26"/>
  <c r="E250" i="26"/>
  <c r="B250" i="26"/>
  <c r="F249" i="26"/>
  <c r="E249" i="26"/>
  <c r="B249" i="26"/>
  <c r="F248" i="26"/>
  <c r="E248" i="26"/>
  <c r="B248" i="26"/>
  <c r="F247" i="26"/>
  <c r="E247" i="26"/>
  <c r="B247" i="26"/>
  <c r="F246" i="26"/>
  <c r="E246" i="26"/>
  <c r="B246" i="26"/>
  <c r="F245" i="26"/>
  <c r="E245" i="26"/>
  <c r="B245" i="26"/>
  <c r="F244" i="26"/>
  <c r="E244" i="26"/>
  <c r="B244" i="26"/>
  <c r="F243" i="26"/>
  <c r="E243" i="26"/>
  <c r="B243" i="26"/>
  <c r="F242" i="26"/>
  <c r="E242" i="26"/>
  <c r="B242" i="26"/>
  <c r="F241" i="26"/>
  <c r="E241" i="26"/>
  <c r="B241" i="26"/>
  <c r="F239" i="26"/>
  <c r="E239" i="26"/>
  <c r="B239" i="26"/>
  <c r="F238" i="26"/>
  <c r="E238" i="26"/>
  <c r="B238" i="26"/>
  <c r="F237" i="26"/>
  <c r="E237" i="26"/>
  <c r="B237" i="26"/>
  <c r="F236" i="26"/>
  <c r="E236" i="26"/>
  <c r="B236" i="26"/>
  <c r="F235" i="26"/>
  <c r="E235" i="26"/>
  <c r="B235" i="26"/>
  <c r="F234" i="26"/>
  <c r="E234" i="26"/>
  <c r="B234" i="26"/>
  <c r="F233" i="26"/>
  <c r="E233" i="26"/>
  <c r="B233" i="26"/>
  <c r="F232" i="26"/>
  <c r="E232" i="26"/>
  <c r="B232" i="26"/>
  <c r="F231" i="26"/>
  <c r="E231" i="26"/>
  <c r="B231" i="26"/>
  <c r="F230" i="26"/>
  <c r="E230" i="26"/>
  <c r="B230" i="26"/>
  <c r="F229" i="26"/>
  <c r="E229" i="26"/>
  <c r="B229" i="26"/>
  <c r="F227" i="26"/>
  <c r="E227" i="26"/>
  <c r="B227" i="26"/>
  <c r="F226" i="26"/>
  <c r="E226" i="26"/>
  <c r="B226" i="26"/>
  <c r="F225" i="26"/>
  <c r="E225" i="26"/>
  <c r="B225" i="26"/>
  <c r="F224" i="26"/>
  <c r="E224" i="26"/>
  <c r="B224" i="26"/>
  <c r="F223" i="26"/>
  <c r="E223" i="26"/>
  <c r="B223" i="26"/>
  <c r="F222" i="26"/>
  <c r="E222" i="26"/>
  <c r="B222" i="26"/>
  <c r="F221" i="26"/>
  <c r="E221" i="26"/>
  <c r="B221" i="26"/>
  <c r="F220" i="26"/>
  <c r="E220" i="26"/>
  <c r="B220" i="26"/>
  <c r="F219" i="26"/>
  <c r="E219" i="26"/>
  <c r="B219" i="26"/>
  <c r="F218" i="26"/>
  <c r="E218" i="26"/>
  <c r="B218" i="26"/>
  <c r="F217" i="26"/>
  <c r="E217" i="26"/>
  <c r="B217" i="26"/>
  <c r="F215" i="26"/>
  <c r="E215" i="26"/>
  <c r="B215" i="26"/>
  <c r="F214" i="26"/>
  <c r="E214" i="26"/>
  <c r="B214" i="26"/>
  <c r="F213" i="26"/>
  <c r="E213" i="26"/>
  <c r="B213" i="26"/>
  <c r="F212" i="26"/>
  <c r="E212" i="26"/>
  <c r="B212" i="26"/>
  <c r="F211" i="26"/>
  <c r="E211" i="26"/>
  <c r="B211" i="26"/>
  <c r="F210" i="26"/>
  <c r="E210" i="26"/>
  <c r="B210" i="26"/>
  <c r="F209" i="26"/>
  <c r="E209" i="26"/>
  <c r="B209" i="26"/>
  <c r="F208" i="26"/>
  <c r="E208" i="26"/>
  <c r="B208" i="26"/>
  <c r="F207" i="26"/>
  <c r="E207" i="26"/>
  <c r="B207" i="26"/>
  <c r="F206" i="26"/>
  <c r="E206" i="26"/>
  <c r="B206" i="26"/>
  <c r="F205" i="26"/>
  <c r="E205" i="26"/>
  <c r="B205" i="26"/>
  <c r="F203" i="26"/>
  <c r="E203" i="26"/>
  <c r="B203" i="26"/>
  <c r="F202" i="26"/>
  <c r="E202" i="26"/>
  <c r="B202" i="26"/>
  <c r="F201" i="26"/>
  <c r="E201" i="26"/>
  <c r="B201" i="26"/>
  <c r="F200" i="26"/>
  <c r="E200" i="26"/>
  <c r="B200" i="26"/>
  <c r="F199" i="26"/>
  <c r="E199" i="26"/>
  <c r="B199" i="26"/>
  <c r="F198" i="26"/>
  <c r="E198" i="26"/>
  <c r="B198" i="26"/>
  <c r="F197" i="26"/>
  <c r="E197" i="26"/>
  <c r="B197" i="26"/>
  <c r="F196" i="26"/>
  <c r="E196" i="26"/>
  <c r="B196" i="26"/>
  <c r="F195" i="26"/>
  <c r="E195" i="26"/>
  <c r="B195" i="26"/>
  <c r="F194" i="26"/>
  <c r="E194" i="26"/>
  <c r="B194" i="26"/>
  <c r="F193" i="26"/>
  <c r="E193" i="26"/>
  <c r="B193" i="26"/>
  <c r="F191" i="26"/>
  <c r="E191" i="26"/>
  <c r="B191" i="26"/>
  <c r="F190" i="26"/>
  <c r="E190" i="26"/>
  <c r="B190" i="26"/>
  <c r="F189" i="26"/>
  <c r="E189" i="26"/>
  <c r="B189" i="26"/>
  <c r="F188" i="26"/>
  <c r="E188" i="26"/>
  <c r="B188" i="26"/>
  <c r="F187" i="26"/>
  <c r="E187" i="26"/>
  <c r="B187" i="26"/>
  <c r="F186" i="26"/>
  <c r="E186" i="26"/>
  <c r="B186" i="26"/>
  <c r="F185" i="26"/>
  <c r="E185" i="26"/>
  <c r="B185" i="26"/>
  <c r="F184" i="26"/>
  <c r="E184" i="26"/>
  <c r="B184" i="26"/>
  <c r="F183" i="26"/>
  <c r="E183" i="26"/>
  <c r="B183" i="26"/>
  <c r="F182" i="26"/>
  <c r="E182" i="26"/>
  <c r="B182" i="26"/>
  <c r="F181" i="26"/>
  <c r="E181" i="26"/>
  <c r="B181" i="26"/>
  <c r="F179" i="26"/>
  <c r="E179" i="26"/>
  <c r="B179" i="26"/>
  <c r="F178" i="26"/>
  <c r="E178" i="26"/>
  <c r="B178" i="26"/>
  <c r="F177" i="26"/>
  <c r="E177" i="26"/>
  <c r="B177" i="26"/>
  <c r="F176" i="26"/>
  <c r="E176" i="26"/>
  <c r="B176" i="26"/>
  <c r="F175" i="26"/>
  <c r="E175" i="26"/>
  <c r="B175" i="26"/>
  <c r="F174" i="26"/>
  <c r="E174" i="26"/>
  <c r="B174" i="26"/>
  <c r="F173" i="26"/>
  <c r="E173" i="26"/>
  <c r="B173" i="26"/>
  <c r="F172" i="26"/>
  <c r="E172" i="26"/>
  <c r="B172" i="26"/>
  <c r="F171" i="26"/>
  <c r="E171" i="26"/>
  <c r="B171" i="26"/>
  <c r="F170" i="26"/>
  <c r="E170" i="26"/>
  <c r="B170" i="26"/>
  <c r="F169" i="26"/>
  <c r="E169" i="26"/>
  <c r="B169" i="26"/>
  <c r="F167" i="26"/>
  <c r="E167" i="26"/>
  <c r="B167" i="26"/>
  <c r="F166" i="26"/>
  <c r="E166" i="26"/>
  <c r="B166" i="26"/>
  <c r="F165" i="26"/>
  <c r="E165" i="26"/>
  <c r="B165" i="26"/>
  <c r="F164" i="26"/>
  <c r="E164" i="26"/>
  <c r="B164" i="26"/>
  <c r="F163" i="26"/>
  <c r="E163" i="26"/>
  <c r="B163" i="26"/>
  <c r="F162" i="26"/>
  <c r="E162" i="26"/>
  <c r="B162" i="26"/>
  <c r="F161" i="26"/>
  <c r="E161" i="26"/>
  <c r="B161" i="26"/>
  <c r="F160" i="26"/>
  <c r="E160" i="26"/>
  <c r="B160" i="26"/>
  <c r="F159" i="26"/>
  <c r="E159" i="26"/>
  <c r="B159" i="26"/>
  <c r="F158" i="26"/>
  <c r="E158" i="26"/>
  <c r="B158" i="26"/>
  <c r="F157" i="26"/>
  <c r="E157" i="26"/>
  <c r="B157" i="26"/>
  <c r="F155" i="26"/>
  <c r="E155" i="26"/>
  <c r="B155" i="26"/>
  <c r="F154" i="26"/>
  <c r="E154" i="26"/>
  <c r="B154" i="26"/>
  <c r="F153" i="26"/>
  <c r="E153" i="26"/>
  <c r="B153" i="26"/>
  <c r="F152" i="26"/>
  <c r="E152" i="26"/>
  <c r="B152" i="26"/>
  <c r="F151" i="26"/>
  <c r="E151" i="26"/>
  <c r="B151" i="26"/>
  <c r="F150" i="26"/>
  <c r="E150" i="26"/>
  <c r="B150" i="26"/>
  <c r="F149" i="26"/>
  <c r="E149" i="26"/>
  <c r="B149" i="26"/>
  <c r="F148" i="26"/>
  <c r="E148" i="26"/>
  <c r="B148" i="26"/>
  <c r="F147" i="26"/>
  <c r="E147" i="26"/>
  <c r="B147" i="26"/>
  <c r="F146" i="26"/>
  <c r="E146" i="26"/>
  <c r="B146" i="26"/>
  <c r="F145" i="26"/>
  <c r="E145" i="26"/>
  <c r="B145" i="26"/>
  <c r="F143" i="26"/>
  <c r="E143" i="26"/>
  <c r="B143" i="26"/>
  <c r="F142" i="26"/>
  <c r="E142" i="26"/>
  <c r="B142" i="26"/>
  <c r="F141" i="26"/>
  <c r="E141" i="26"/>
  <c r="B141" i="26"/>
  <c r="F140" i="26"/>
  <c r="E140" i="26"/>
  <c r="B140" i="26"/>
  <c r="F139" i="26"/>
  <c r="E139" i="26"/>
  <c r="B139" i="26"/>
  <c r="F138" i="26"/>
  <c r="E138" i="26"/>
  <c r="B138" i="26"/>
  <c r="F137" i="26"/>
  <c r="E137" i="26"/>
  <c r="B137" i="26"/>
  <c r="F136" i="26"/>
  <c r="E136" i="26"/>
  <c r="B136" i="26"/>
  <c r="F135" i="26"/>
  <c r="E135" i="26"/>
  <c r="B135" i="26"/>
  <c r="F134" i="26"/>
  <c r="E134" i="26"/>
  <c r="B134" i="26"/>
  <c r="F133" i="26"/>
  <c r="E133" i="26"/>
  <c r="B133" i="26"/>
  <c r="F131" i="26"/>
  <c r="E131" i="26"/>
  <c r="B131" i="26"/>
  <c r="F130" i="26"/>
  <c r="E130" i="26"/>
  <c r="B130" i="26"/>
  <c r="F129" i="26"/>
  <c r="E129" i="26"/>
  <c r="B129" i="26"/>
  <c r="F128" i="26"/>
  <c r="E128" i="26"/>
  <c r="B128" i="26"/>
  <c r="F127" i="26"/>
  <c r="E127" i="26"/>
  <c r="B127" i="26"/>
  <c r="F126" i="26"/>
  <c r="E126" i="26"/>
  <c r="B126" i="26"/>
  <c r="F125" i="26"/>
  <c r="E125" i="26"/>
  <c r="B125" i="26"/>
  <c r="F124" i="26"/>
  <c r="E124" i="26"/>
  <c r="B124" i="26"/>
  <c r="F123" i="26"/>
  <c r="E123" i="26"/>
  <c r="B123" i="26"/>
  <c r="F122" i="26"/>
  <c r="E122" i="26"/>
  <c r="B122" i="26"/>
  <c r="F121" i="26"/>
  <c r="E121" i="26"/>
  <c r="B121" i="26"/>
  <c r="F119" i="26"/>
  <c r="E119" i="26"/>
  <c r="B119" i="26"/>
  <c r="F118" i="26"/>
  <c r="E118" i="26"/>
  <c r="B118" i="26"/>
  <c r="F117" i="26"/>
  <c r="E117" i="26"/>
  <c r="B117" i="26"/>
  <c r="F116" i="26"/>
  <c r="E116" i="26"/>
  <c r="B116" i="26"/>
  <c r="F115" i="26"/>
  <c r="E115" i="26"/>
  <c r="B115" i="26"/>
  <c r="F114" i="26"/>
  <c r="E114" i="26"/>
  <c r="B114" i="26"/>
  <c r="F113" i="26"/>
  <c r="E113" i="26"/>
  <c r="B113" i="26"/>
  <c r="F112" i="26"/>
  <c r="E112" i="26"/>
  <c r="B112" i="26"/>
  <c r="F111" i="26"/>
  <c r="E111" i="26"/>
  <c r="B111" i="26"/>
  <c r="F110" i="26"/>
  <c r="E110" i="26"/>
  <c r="B110" i="26"/>
  <c r="F109" i="26"/>
  <c r="E109" i="26"/>
  <c r="B109" i="26"/>
  <c r="F107" i="26"/>
  <c r="E107" i="26"/>
  <c r="B107" i="26"/>
  <c r="F106" i="26"/>
  <c r="E106" i="26"/>
  <c r="B106" i="26"/>
  <c r="F105" i="26"/>
  <c r="E105" i="26"/>
  <c r="B105" i="26"/>
  <c r="F104" i="26"/>
  <c r="E104" i="26"/>
  <c r="B104" i="26"/>
  <c r="F103" i="26"/>
  <c r="E103" i="26"/>
  <c r="B103" i="26"/>
  <c r="F102" i="26"/>
  <c r="E102" i="26"/>
  <c r="B102" i="26"/>
  <c r="F101" i="26"/>
  <c r="E101" i="26"/>
  <c r="B101" i="26"/>
  <c r="F100" i="26"/>
  <c r="E100" i="26"/>
  <c r="B100" i="26"/>
  <c r="F99" i="26"/>
  <c r="E99" i="26"/>
  <c r="B99" i="26"/>
  <c r="F98" i="26"/>
  <c r="E98" i="26"/>
  <c r="B98" i="26"/>
  <c r="F97" i="26"/>
  <c r="E97" i="26"/>
  <c r="B97" i="26"/>
  <c r="F95" i="26"/>
  <c r="E95" i="26"/>
  <c r="B95" i="26"/>
  <c r="F94" i="26"/>
  <c r="E94" i="26"/>
  <c r="B94" i="26"/>
  <c r="F93" i="26"/>
  <c r="E93" i="26"/>
  <c r="B93" i="26"/>
  <c r="F92" i="26"/>
  <c r="E92" i="26"/>
  <c r="B92" i="26"/>
  <c r="F91" i="26"/>
  <c r="E91" i="26"/>
  <c r="B91" i="26"/>
  <c r="F90" i="26"/>
  <c r="E90" i="26"/>
  <c r="B90" i="26"/>
  <c r="F89" i="26"/>
  <c r="E89" i="26"/>
  <c r="B89" i="26"/>
  <c r="F88" i="26"/>
  <c r="E88" i="26"/>
  <c r="B88" i="26"/>
  <c r="F87" i="26"/>
  <c r="E87" i="26"/>
  <c r="B87" i="26"/>
  <c r="F86" i="26"/>
  <c r="E86" i="26"/>
  <c r="B86" i="26"/>
  <c r="F85" i="26"/>
  <c r="E85" i="26"/>
  <c r="B85" i="26"/>
  <c r="F83" i="26"/>
  <c r="E83" i="26"/>
  <c r="B83" i="26"/>
  <c r="F82" i="26"/>
  <c r="E82" i="26"/>
  <c r="B82" i="26"/>
  <c r="F81" i="26"/>
  <c r="E81" i="26"/>
  <c r="B81" i="26"/>
  <c r="F80" i="26"/>
  <c r="E80" i="26"/>
  <c r="B80" i="26"/>
  <c r="F79" i="26"/>
  <c r="E79" i="26"/>
  <c r="B79" i="26"/>
  <c r="F78" i="26"/>
  <c r="E78" i="26"/>
  <c r="B78" i="26"/>
  <c r="F77" i="26"/>
  <c r="E77" i="26"/>
  <c r="B77" i="26"/>
  <c r="F76" i="26"/>
  <c r="E76" i="26"/>
  <c r="B76" i="26"/>
  <c r="F75" i="26"/>
  <c r="E75" i="26"/>
  <c r="B75" i="26"/>
  <c r="F74" i="26"/>
  <c r="E74" i="26"/>
  <c r="B74" i="26"/>
  <c r="F73" i="26"/>
  <c r="E73" i="26"/>
  <c r="B73" i="26"/>
  <c r="AM71" i="26"/>
  <c r="AL71" i="26"/>
  <c r="AK71" i="26"/>
  <c r="AJ71" i="26"/>
  <c r="AI71" i="26"/>
  <c r="AH71" i="26"/>
  <c r="AG71" i="26"/>
  <c r="AF71" i="26"/>
  <c r="AE71" i="26"/>
  <c r="AD71" i="26"/>
  <c r="AC71" i="26"/>
  <c r="AB71" i="26"/>
  <c r="AA71" i="26"/>
  <c r="Z71" i="26"/>
  <c r="Y71" i="26"/>
  <c r="X71" i="26"/>
  <c r="W71" i="26"/>
  <c r="V71" i="26"/>
  <c r="U71" i="26"/>
  <c r="T71" i="26"/>
  <c r="S71" i="26"/>
  <c r="R71" i="26"/>
  <c r="Q71" i="26"/>
  <c r="P71" i="26"/>
  <c r="O71" i="26"/>
  <c r="N71" i="26"/>
  <c r="M71" i="26"/>
  <c r="L71" i="26"/>
  <c r="K71" i="26"/>
  <c r="J71" i="26"/>
  <c r="I71" i="26"/>
  <c r="E71" i="26"/>
  <c r="F66" i="26"/>
  <c r="E66" i="26"/>
  <c r="B66" i="26"/>
  <c r="F65" i="26"/>
  <c r="E65" i="26"/>
  <c r="B65" i="26"/>
  <c r="F64" i="26"/>
  <c r="E64" i="26"/>
  <c r="B64" i="26"/>
  <c r="F63" i="26"/>
  <c r="E63" i="26"/>
  <c r="B63" i="26"/>
  <c r="F62" i="26"/>
  <c r="E62" i="26"/>
  <c r="B62" i="26"/>
  <c r="F61" i="26"/>
  <c r="E61" i="26"/>
  <c r="B61" i="26"/>
  <c r="F60" i="26"/>
  <c r="E60" i="26"/>
  <c r="B60" i="26"/>
  <c r="F59" i="26"/>
  <c r="E59" i="26"/>
  <c r="B59" i="26"/>
  <c r="F58" i="26"/>
  <c r="E58" i="26"/>
  <c r="B58" i="26"/>
  <c r="F57" i="26"/>
  <c r="E57" i="26"/>
  <c r="B57" i="26"/>
  <c r="F56" i="26"/>
  <c r="E56" i="26"/>
  <c r="B56" i="26"/>
  <c r="F55" i="26"/>
  <c r="E55" i="26"/>
  <c r="B55" i="26"/>
  <c r="F54" i="26"/>
  <c r="E54" i="26"/>
  <c r="B54" i="26"/>
  <c r="F53" i="26"/>
  <c r="E53" i="26"/>
  <c r="B53" i="26"/>
  <c r="F52" i="26"/>
  <c r="E52" i="26"/>
  <c r="B52" i="26"/>
  <c r="D51" i="26"/>
  <c r="C51" i="26"/>
  <c r="F51" i="26"/>
  <c r="E51" i="26"/>
  <c r="B51" i="26"/>
  <c r="AM49" i="26"/>
  <c r="AL49" i="26"/>
  <c r="AK49" i="26"/>
  <c r="AJ49" i="26"/>
  <c r="AI49" i="26"/>
  <c r="AH49" i="26"/>
  <c r="AG49" i="26"/>
  <c r="AF49" i="26"/>
  <c r="AE49" i="26"/>
  <c r="AD49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D49" i="26"/>
  <c r="C49" i="26"/>
  <c r="E49" i="26"/>
  <c r="E41" i="26"/>
  <c r="C41" i="26"/>
  <c r="B41" i="26"/>
  <c r="E40" i="26"/>
  <c r="C40" i="26"/>
  <c r="B40" i="26"/>
  <c r="E39" i="26"/>
  <c r="C39" i="26"/>
  <c r="B39" i="26"/>
  <c r="E38" i="26"/>
  <c r="C38" i="26"/>
  <c r="B38" i="26"/>
  <c r="E37" i="26"/>
  <c r="C37" i="26"/>
  <c r="B37" i="26"/>
  <c r="E36" i="26"/>
  <c r="C36" i="26"/>
  <c r="B36" i="26"/>
  <c r="E35" i="26"/>
  <c r="C35" i="26"/>
  <c r="B35" i="26"/>
  <c r="E34" i="26"/>
  <c r="C34" i="26"/>
  <c r="B34" i="26"/>
  <c r="E33" i="26"/>
  <c r="C33" i="26"/>
  <c r="B33" i="26"/>
  <c r="E32" i="26"/>
  <c r="C32" i="26"/>
  <c r="B32" i="26"/>
  <c r="E31" i="26"/>
  <c r="C31" i="26"/>
  <c r="B31" i="26"/>
  <c r="E30" i="26"/>
  <c r="C30" i="26"/>
  <c r="B30" i="26"/>
  <c r="E29" i="26"/>
  <c r="C29" i="26"/>
  <c r="B29" i="26"/>
  <c r="E28" i="26"/>
  <c r="C28" i="26"/>
  <c r="B28" i="26"/>
  <c r="E27" i="26"/>
  <c r="C27" i="26"/>
  <c r="B27" i="26"/>
  <c r="D17" i="26"/>
  <c r="D16" i="26"/>
  <c r="E23" i="26"/>
  <c r="B23" i="26"/>
  <c r="D19" i="26"/>
  <c r="D9" i="26"/>
  <c r="D10" i="26"/>
  <c r="D12" i="26"/>
  <c r="AM254" i="25"/>
  <c r="AL254" i="25"/>
  <c r="AK254" i="25"/>
  <c r="AJ254" i="25"/>
  <c r="AI254" i="25"/>
  <c r="AH254" i="25"/>
  <c r="AG254" i="25"/>
  <c r="AF254" i="25"/>
  <c r="AE254" i="25"/>
  <c r="AD254" i="25"/>
  <c r="AC254" i="25"/>
  <c r="AB254" i="25"/>
  <c r="AA254" i="25"/>
  <c r="Z254" i="25"/>
  <c r="Y254" i="25"/>
  <c r="X254" i="25"/>
  <c r="W254" i="25"/>
  <c r="V254" i="25"/>
  <c r="U254" i="25"/>
  <c r="T254" i="25"/>
  <c r="S254" i="25"/>
  <c r="R254" i="25"/>
  <c r="Q254" i="25"/>
  <c r="P254" i="25"/>
  <c r="O254" i="25"/>
  <c r="N254" i="25"/>
  <c r="M254" i="25"/>
  <c r="L254" i="25"/>
  <c r="K254" i="25"/>
  <c r="J254" i="25"/>
  <c r="I254" i="25"/>
  <c r="C73" i="25"/>
  <c r="C85" i="25"/>
  <c r="C97" i="25"/>
  <c r="C109" i="25"/>
  <c r="C121" i="25"/>
  <c r="C133" i="25"/>
  <c r="C145" i="25"/>
  <c r="C157" i="25"/>
  <c r="C169" i="25"/>
  <c r="C181" i="25"/>
  <c r="C193" i="25"/>
  <c r="C205" i="25"/>
  <c r="C217" i="25"/>
  <c r="C229" i="25"/>
  <c r="C241" i="25"/>
  <c r="C71" i="25"/>
  <c r="C254" i="25"/>
  <c r="D73" i="25"/>
  <c r="D85" i="25"/>
  <c r="D97" i="25"/>
  <c r="D109" i="25"/>
  <c r="D121" i="25"/>
  <c r="D133" i="25"/>
  <c r="D145" i="25"/>
  <c r="D157" i="25"/>
  <c r="D169" i="25"/>
  <c r="D181" i="25"/>
  <c r="D193" i="25"/>
  <c r="D205" i="25"/>
  <c r="D217" i="25"/>
  <c r="D229" i="25"/>
  <c r="D241" i="25"/>
  <c r="D71" i="25"/>
  <c r="D254" i="25"/>
  <c r="E254" i="25"/>
  <c r="F251" i="25"/>
  <c r="E251" i="25"/>
  <c r="B251" i="25"/>
  <c r="F250" i="25"/>
  <c r="E250" i="25"/>
  <c r="B250" i="25"/>
  <c r="F249" i="25"/>
  <c r="E249" i="25"/>
  <c r="B249" i="25"/>
  <c r="F248" i="25"/>
  <c r="E248" i="25"/>
  <c r="B248" i="25"/>
  <c r="F247" i="25"/>
  <c r="E247" i="25"/>
  <c r="B247" i="25"/>
  <c r="F246" i="25"/>
  <c r="E246" i="25"/>
  <c r="B246" i="25"/>
  <c r="F245" i="25"/>
  <c r="E245" i="25"/>
  <c r="B245" i="25"/>
  <c r="F244" i="25"/>
  <c r="E244" i="25"/>
  <c r="B244" i="25"/>
  <c r="F243" i="25"/>
  <c r="E243" i="25"/>
  <c r="B243" i="25"/>
  <c r="F242" i="25"/>
  <c r="E242" i="25"/>
  <c r="B242" i="25"/>
  <c r="F241" i="25"/>
  <c r="E241" i="25"/>
  <c r="B241" i="25"/>
  <c r="F239" i="25"/>
  <c r="E239" i="25"/>
  <c r="B239" i="25"/>
  <c r="F238" i="25"/>
  <c r="E238" i="25"/>
  <c r="B238" i="25"/>
  <c r="F237" i="25"/>
  <c r="E237" i="25"/>
  <c r="B237" i="25"/>
  <c r="F236" i="25"/>
  <c r="E236" i="25"/>
  <c r="B236" i="25"/>
  <c r="F235" i="25"/>
  <c r="E235" i="25"/>
  <c r="B235" i="25"/>
  <c r="F234" i="25"/>
  <c r="E234" i="25"/>
  <c r="B234" i="25"/>
  <c r="F233" i="25"/>
  <c r="E233" i="25"/>
  <c r="B233" i="25"/>
  <c r="F232" i="25"/>
  <c r="E232" i="25"/>
  <c r="B232" i="25"/>
  <c r="F231" i="25"/>
  <c r="E231" i="25"/>
  <c r="B231" i="25"/>
  <c r="F230" i="25"/>
  <c r="E230" i="25"/>
  <c r="B230" i="25"/>
  <c r="F229" i="25"/>
  <c r="E229" i="25"/>
  <c r="B229" i="25"/>
  <c r="F227" i="25"/>
  <c r="E227" i="25"/>
  <c r="B227" i="25"/>
  <c r="F226" i="25"/>
  <c r="E226" i="25"/>
  <c r="B226" i="25"/>
  <c r="F225" i="25"/>
  <c r="E225" i="25"/>
  <c r="B225" i="25"/>
  <c r="F224" i="25"/>
  <c r="E224" i="25"/>
  <c r="B224" i="25"/>
  <c r="F223" i="25"/>
  <c r="E223" i="25"/>
  <c r="B223" i="25"/>
  <c r="F222" i="25"/>
  <c r="E222" i="25"/>
  <c r="B222" i="25"/>
  <c r="F221" i="25"/>
  <c r="E221" i="25"/>
  <c r="B221" i="25"/>
  <c r="F220" i="25"/>
  <c r="E220" i="25"/>
  <c r="B220" i="25"/>
  <c r="F219" i="25"/>
  <c r="E219" i="25"/>
  <c r="B219" i="25"/>
  <c r="F218" i="25"/>
  <c r="E218" i="25"/>
  <c r="B218" i="25"/>
  <c r="F217" i="25"/>
  <c r="E217" i="25"/>
  <c r="B217" i="25"/>
  <c r="F215" i="25"/>
  <c r="E215" i="25"/>
  <c r="B215" i="25"/>
  <c r="F214" i="25"/>
  <c r="E214" i="25"/>
  <c r="B214" i="25"/>
  <c r="F213" i="25"/>
  <c r="E213" i="25"/>
  <c r="B213" i="25"/>
  <c r="F212" i="25"/>
  <c r="E212" i="25"/>
  <c r="B212" i="25"/>
  <c r="F211" i="25"/>
  <c r="E211" i="25"/>
  <c r="B211" i="25"/>
  <c r="F210" i="25"/>
  <c r="E210" i="25"/>
  <c r="B210" i="25"/>
  <c r="F209" i="25"/>
  <c r="E209" i="25"/>
  <c r="B209" i="25"/>
  <c r="F208" i="25"/>
  <c r="E208" i="25"/>
  <c r="B208" i="25"/>
  <c r="F207" i="25"/>
  <c r="E207" i="25"/>
  <c r="B207" i="25"/>
  <c r="F206" i="25"/>
  <c r="E206" i="25"/>
  <c r="B206" i="25"/>
  <c r="F205" i="25"/>
  <c r="E205" i="25"/>
  <c r="B205" i="25"/>
  <c r="F203" i="25"/>
  <c r="E203" i="25"/>
  <c r="B203" i="25"/>
  <c r="F202" i="25"/>
  <c r="E202" i="25"/>
  <c r="B202" i="25"/>
  <c r="F201" i="25"/>
  <c r="E201" i="25"/>
  <c r="B201" i="25"/>
  <c r="F200" i="25"/>
  <c r="E200" i="25"/>
  <c r="B200" i="25"/>
  <c r="F199" i="25"/>
  <c r="E199" i="25"/>
  <c r="B199" i="25"/>
  <c r="F198" i="25"/>
  <c r="E198" i="25"/>
  <c r="B198" i="25"/>
  <c r="F197" i="25"/>
  <c r="E197" i="25"/>
  <c r="B197" i="25"/>
  <c r="F196" i="25"/>
  <c r="E196" i="25"/>
  <c r="B196" i="25"/>
  <c r="F195" i="25"/>
  <c r="E195" i="25"/>
  <c r="B195" i="25"/>
  <c r="F194" i="25"/>
  <c r="E194" i="25"/>
  <c r="B194" i="25"/>
  <c r="F193" i="25"/>
  <c r="E193" i="25"/>
  <c r="B193" i="25"/>
  <c r="F191" i="25"/>
  <c r="E191" i="25"/>
  <c r="B191" i="25"/>
  <c r="F190" i="25"/>
  <c r="E190" i="25"/>
  <c r="B190" i="25"/>
  <c r="F189" i="25"/>
  <c r="E189" i="25"/>
  <c r="B189" i="25"/>
  <c r="F188" i="25"/>
  <c r="E188" i="25"/>
  <c r="B188" i="25"/>
  <c r="F187" i="25"/>
  <c r="E187" i="25"/>
  <c r="B187" i="25"/>
  <c r="F186" i="25"/>
  <c r="E186" i="25"/>
  <c r="B186" i="25"/>
  <c r="F185" i="25"/>
  <c r="E185" i="25"/>
  <c r="B185" i="25"/>
  <c r="F184" i="25"/>
  <c r="E184" i="25"/>
  <c r="B184" i="25"/>
  <c r="F183" i="25"/>
  <c r="E183" i="25"/>
  <c r="B183" i="25"/>
  <c r="F182" i="25"/>
  <c r="E182" i="25"/>
  <c r="B182" i="25"/>
  <c r="F181" i="25"/>
  <c r="E181" i="25"/>
  <c r="B181" i="25"/>
  <c r="F179" i="25"/>
  <c r="E179" i="25"/>
  <c r="B179" i="25"/>
  <c r="F178" i="25"/>
  <c r="E178" i="25"/>
  <c r="B178" i="25"/>
  <c r="F177" i="25"/>
  <c r="E177" i="25"/>
  <c r="B177" i="25"/>
  <c r="F176" i="25"/>
  <c r="E176" i="25"/>
  <c r="B176" i="25"/>
  <c r="F175" i="25"/>
  <c r="E175" i="25"/>
  <c r="B175" i="25"/>
  <c r="F174" i="25"/>
  <c r="E174" i="25"/>
  <c r="B174" i="25"/>
  <c r="F173" i="25"/>
  <c r="E173" i="25"/>
  <c r="B173" i="25"/>
  <c r="F172" i="25"/>
  <c r="E172" i="25"/>
  <c r="B172" i="25"/>
  <c r="F171" i="25"/>
  <c r="E171" i="25"/>
  <c r="B171" i="25"/>
  <c r="F170" i="25"/>
  <c r="E170" i="25"/>
  <c r="B170" i="25"/>
  <c r="F169" i="25"/>
  <c r="E169" i="25"/>
  <c r="B169" i="25"/>
  <c r="F167" i="25"/>
  <c r="E167" i="25"/>
  <c r="B167" i="25"/>
  <c r="F166" i="25"/>
  <c r="E166" i="25"/>
  <c r="B166" i="25"/>
  <c r="F165" i="25"/>
  <c r="E165" i="25"/>
  <c r="B165" i="25"/>
  <c r="F164" i="25"/>
  <c r="E164" i="25"/>
  <c r="B164" i="25"/>
  <c r="F163" i="25"/>
  <c r="E163" i="25"/>
  <c r="B163" i="25"/>
  <c r="F162" i="25"/>
  <c r="E162" i="25"/>
  <c r="B162" i="25"/>
  <c r="F161" i="25"/>
  <c r="E161" i="25"/>
  <c r="B161" i="25"/>
  <c r="F160" i="25"/>
  <c r="E160" i="25"/>
  <c r="B160" i="25"/>
  <c r="F159" i="25"/>
  <c r="E159" i="25"/>
  <c r="B159" i="25"/>
  <c r="F158" i="25"/>
  <c r="E158" i="25"/>
  <c r="B158" i="25"/>
  <c r="F157" i="25"/>
  <c r="E157" i="25"/>
  <c r="B157" i="25"/>
  <c r="F155" i="25"/>
  <c r="E155" i="25"/>
  <c r="B155" i="25"/>
  <c r="F154" i="25"/>
  <c r="E154" i="25"/>
  <c r="B154" i="25"/>
  <c r="F153" i="25"/>
  <c r="E153" i="25"/>
  <c r="B153" i="25"/>
  <c r="F152" i="25"/>
  <c r="E152" i="25"/>
  <c r="B152" i="25"/>
  <c r="F151" i="25"/>
  <c r="E151" i="25"/>
  <c r="B151" i="25"/>
  <c r="F150" i="25"/>
  <c r="E150" i="25"/>
  <c r="B150" i="25"/>
  <c r="F149" i="25"/>
  <c r="E149" i="25"/>
  <c r="B149" i="25"/>
  <c r="F148" i="25"/>
  <c r="E148" i="25"/>
  <c r="B148" i="25"/>
  <c r="F147" i="25"/>
  <c r="E147" i="25"/>
  <c r="B147" i="25"/>
  <c r="F146" i="25"/>
  <c r="E146" i="25"/>
  <c r="B146" i="25"/>
  <c r="F145" i="25"/>
  <c r="E145" i="25"/>
  <c r="B145" i="25"/>
  <c r="F143" i="25"/>
  <c r="E143" i="25"/>
  <c r="B143" i="25"/>
  <c r="F142" i="25"/>
  <c r="E142" i="25"/>
  <c r="B142" i="25"/>
  <c r="F141" i="25"/>
  <c r="E141" i="25"/>
  <c r="B141" i="25"/>
  <c r="F140" i="25"/>
  <c r="E140" i="25"/>
  <c r="B140" i="25"/>
  <c r="F139" i="25"/>
  <c r="E139" i="25"/>
  <c r="B139" i="25"/>
  <c r="F138" i="25"/>
  <c r="E138" i="25"/>
  <c r="B138" i="25"/>
  <c r="F137" i="25"/>
  <c r="E137" i="25"/>
  <c r="B137" i="25"/>
  <c r="F136" i="25"/>
  <c r="E136" i="25"/>
  <c r="B136" i="25"/>
  <c r="F135" i="25"/>
  <c r="E135" i="25"/>
  <c r="B135" i="25"/>
  <c r="F134" i="25"/>
  <c r="E134" i="25"/>
  <c r="B134" i="25"/>
  <c r="F133" i="25"/>
  <c r="E133" i="25"/>
  <c r="B133" i="25"/>
  <c r="F131" i="25"/>
  <c r="E131" i="25"/>
  <c r="B131" i="25"/>
  <c r="F130" i="25"/>
  <c r="E130" i="25"/>
  <c r="B130" i="25"/>
  <c r="F129" i="25"/>
  <c r="E129" i="25"/>
  <c r="B129" i="25"/>
  <c r="F128" i="25"/>
  <c r="E128" i="25"/>
  <c r="B128" i="25"/>
  <c r="F127" i="25"/>
  <c r="E127" i="25"/>
  <c r="B127" i="25"/>
  <c r="F126" i="25"/>
  <c r="E126" i="25"/>
  <c r="B126" i="25"/>
  <c r="F125" i="25"/>
  <c r="E125" i="25"/>
  <c r="B125" i="25"/>
  <c r="F124" i="25"/>
  <c r="E124" i="25"/>
  <c r="B124" i="25"/>
  <c r="F123" i="25"/>
  <c r="E123" i="25"/>
  <c r="B123" i="25"/>
  <c r="F122" i="25"/>
  <c r="E122" i="25"/>
  <c r="B122" i="25"/>
  <c r="F121" i="25"/>
  <c r="E121" i="25"/>
  <c r="B121" i="25"/>
  <c r="F119" i="25"/>
  <c r="E119" i="25"/>
  <c r="B119" i="25"/>
  <c r="F118" i="25"/>
  <c r="E118" i="25"/>
  <c r="B118" i="25"/>
  <c r="F117" i="25"/>
  <c r="E117" i="25"/>
  <c r="B117" i="25"/>
  <c r="F116" i="25"/>
  <c r="E116" i="25"/>
  <c r="B116" i="25"/>
  <c r="F115" i="25"/>
  <c r="E115" i="25"/>
  <c r="B115" i="25"/>
  <c r="F114" i="25"/>
  <c r="E114" i="25"/>
  <c r="B114" i="25"/>
  <c r="F113" i="25"/>
  <c r="E113" i="25"/>
  <c r="B113" i="25"/>
  <c r="F112" i="25"/>
  <c r="E112" i="25"/>
  <c r="B112" i="25"/>
  <c r="F111" i="25"/>
  <c r="E111" i="25"/>
  <c r="B111" i="25"/>
  <c r="F110" i="25"/>
  <c r="E110" i="25"/>
  <c r="B110" i="25"/>
  <c r="F109" i="25"/>
  <c r="E109" i="25"/>
  <c r="B109" i="25"/>
  <c r="F107" i="25"/>
  <c r="E107" i="25"/>
  <c r="B107" i="25"/>
  <c r="F106" i="25"/>
  <c r="E106" i="25"/>
  <c r="B106" i="25"/>
  <c r="F105" i="25"/>
  <c r="E105" i="25"/>
  <c r="B105" i="25"/>
  <c r="F104" i="25"/>
  <c r="E104" i="25"/>
  <c r="B104" i="25"/>
  <c r="F103" i="25"/>
  <c r="E103" i="25"/>
  <c r="B103" i="25"/>
  <c r="F102" i="25"/>
  <c r="E102" i="25"/>
  <c r="B102" i="25"/>
  <c r="F101" i="25"/>
  <c r="E101" i="25"/>
  <c r="B101" i="25"/>
  <c r="F100" i="25"/>
  <c r="E100" i="25"/>
  <c r="B100" i="25"/>
  <c r="F99" i="25"/>
  <c r="E99" i="25"/>
  <c r="B99" i="25"/>
  <c r="F98" i="25"/>
  <c r="E98" i="25"/>
  <c r="B98" i="25"/>
  <c r="F97" i="25"/>
  <c r="E97" i="25"/>
  <c r="B97" i="25"/>
  <c r="F95" i="25"/>
  <c r="E95" i="25"/>
  <c r="B95" i="25"/>
  <c r="F94" i="25"/>
  <c r="E94" i="25"/>
  <c r="B94" i="25"/>
  <c r="F93" i="25"/>
  <c r="E93" i="25"/>
  <c r="B93" i="25"/>
  <c r="F92" i="25"/>
  <c r="E92" i="25"/>
  <c r="B92" i="25"/>
  <c r="F91" i="25"/>
  <c r="E91" i="25"/>
  <c r="B91" i="25"/>
  <c r="F90" i="25"/>
  <c r="E90" i="25"/>
  <c r="B90" i="25"/>
  <c r="F89" i="25"/>
  <c r="E89" i="25"/>
  <c r="B89" i="25"/>
  <c r="F88" i="25"/>
  <c r="E88" i="25"/>
  <c r="B88" i="25"/>
  <c r="F87" i="25"/>
  <c r="E87" i="25"/>
  <c r="B87" i="25"/>
  <c r="F86" i="25"/>
  <c r="E86" i="25"/>
  <c r="B86" i="25"/>
  <c r="F85" i="25"/>
  <c r="E85" i="25"/>
  <c r="B85" i="25"/>
  <c r="F83" i="25"/>
  <c r="E83" i="25"/>
  <c r="B83" i="25"/>
  <c r="F82" i="25"/>
  <c r="E82" i="25"/>
  <c r="B82" i="25"/>
  <c r="F81" i="25"/>
  <c r="E81" i="25"/>
  <c r="B81" i="25"/>
  <c r="F80" i="25"/>
  <c r="E80" i="25"/>
  <c r="B80" i="25"/>
  <c r="F79" i="25"/>
  <c r="E79" i="25"/>
  <c r="B79" i="25"/>
  <c r="F78" i="25"/>
  <c r="E78" i="25"/>
  <c r="B78" i="25"/>
  <c r="F77" i="25"/>
  <c r="E77" i="25"/>
  <c r="B77" i="25"/>
  <c r="F76" i="25"/>
  <c r="E76" i="25"/>
  <c r="B76" i="25"/>
  <c r="F75" i="25"/>
  <c r="E75" i="25"/>
  <c r="B75" i="25"/>
  <c r="F74" i="25"/>
  <c r="E74" i="25"/>
  <c r="B74" i="25"/>
  <c r="F73" i="25"/>
  <c r="E73" i="25"/>
  <c r="B73" i="25"/>
  <c r="AM71" i="25"/>
  <c r="AL71" i="25"/>
  <c r="AK71" i="25"/>
  <c r="AJ71" i="25"/>
  <c r="AI71" i="25"/>
  <c r="AH71" i="25"/>
  <c r="AG71" i="25"/>
  <c r="AF71" i="25"/>
  <c r="AE71" i="25"/>
  <c r="AD71" i="25"/>
  <c r="AC71" i="25"/>
  <c r="AB71" i="25"/>
  <c r="AA71" i="25"/>
  <c r="Z71" i="25"/>
  <c r="Y71" i="25"/>
  <c r="X71" i="25"/>
  <c r="W71" i="25"/>
  <c r="V71" i="25"/>
  <c r="U71" i="25"/>
  <c r="T71" i="25"/>
  <c r="S71" i="25"/>
  <c r="R71" i="25"/>
  <c r="Q71" i="25"/>
  <c r="P71" i="25"/>
  <c r="O71" i="25"/>
  <c r="N71" i="25"/>
  <c r="M71" i="25"/>
  <c r="L71" i="25"/>
  <c r="K71" i="25"/>
  <c r="J71" i="25"/>
  <c r="I71" i="25"/>
  <c r="E71" i="25"/>
  <c r="F66" i="25"/>
  <c r="E66" i="25"/>
  <c r="B66" i="25"/>
  <c r="F65" i="25"/>
  <c r="E65" i="25"/>
  <c r="B65" i="25"/>
  <c r="F64" i="25"/>
  <c r="E64" i="25"/>
  <c r="B64" i="25"/>
  <c r="F63" i="25"/>
  <c r="E63" i="25"/>
  <c r="B63" i="25"/>
  <c r="F62" i="25"/>
  <c r="E62" i="25"/>
  <c r="B62" i="25"/>
  <c r="F61" i="25"/>
  <c r="E61" i="25"/>
  <c r="B61" i="25"/>
  <c r="F60" i="25"/>
  <c r="E60" i="25"/>
  <c r="B60" i="25"/>
  <c r="F59" i="25"/>
  <c r="E59" i="25"/>
  <c r="B59" i="25"/>
  <c r="F58" i="25"/>
  <c r="E58" i="25"/>
  <c r="B58" i="25"/>
  <c r="F57" i="25"/>
  <c r="E57" i="25"/>
  <c r="B57" i="25"/>
  <c r="F56" i="25"/>
  <c r="E56" i="25"/>
  <c r="B56" i="25"/>
  <c r="F55" i="25"/>
  <c r="E55" i="25"/>
  <c r="B55" i="25"/>
  <c r="F54" i="25"/>
  <c r="E54" i="25"/>
  <c r="B54" i="25"/>
  <c r="F53" i="25"/>
  <c r="E53" i="25"/>
  <c r="B53" i="25"/>
  <c r="F52" i="25"/>
  <c r="E52" i="25"/>
  <c r="B52" i="25"/>
  <c r="D51" i="25"/>
  <c r="C51" i="25"/>
  <c r="F51" i="25"/>
  <c r="E51" i="25"/>
  <c r="B51" i="25"/>
  <c r="AM49" i="25"/>
  <c r="AL49" i="25"/>
  <c r="AK49" i="25"/>
  <c r="AJ49" i="25"/>
  <c r="AI49" i="25"/>
  <c r="AH49" i="25"/>
  <c r="AG49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D49" i="25"/>
  <c r="C49" i="25"/>
  <c r="E49" i="25"/>
  <c r="E41" i="25"/>
  <c r="C41" i="25"/>
  <c r="B41" i="25"/>
  <c r="E40" i="25"/>
  <c r="C40" i="25"/>
  <c r="B40" i="25"/>
  <c r="E39" i="25"/>
  <c r="C39" i="25"/>
  <c r="B39" i="25"/>
  <c r="E38" i="25"/>
  <c r="C38" i="25"/>
  <c r="B38" i="25"/>
  <c r="E37" i="25"/>
  <c r="C37" i="25"/>
  <c r="B37" i="25"/>
  <c r="E36" i="25"/>
  <c r="C36" i="25"/>
  <c r="B36" i="25"/>
  <c r="E35" i="25"/>
  <c r="C35" i="25"/>
  <c r="B35" i="25"/>
  <c r="E34" i="25"/>
  <c r="C34" i="25"/>
  <c r="B34" i="25"/>
  <c r="E33" i="25"/>
  <c r="C33" i="25"/>
  <c r="B33" i="25"/>
  <c r="E32" i="25"/>
  <c r="C32" i="25"/>
  <c r="B32" i="25"/>
  <c r="E31" i="25"/>
  <c r="C31" i="25"/>
  <c r="B31" i="25"/>
  <c r="E30" i="25"/>
  <c r="C30" i="25"/>
  <c r="B30" i="25"/>
  <c r="E29" i="25"/>
  <c r="C29" i="25"/>
  <c r="B29" i="25"/>
  <c r="E28" i="25"/>
  <c r="C28" i="25"/>
  <c r="B28" i="25"/>
  <c r="E27" i="25"/>
  <c r="C27" i="25"/>
  <c r="B27" i="25"/>
  <c r="D17" i="25"/>
  <c r="D16" i="25"/>
  <c r="E23" i="25"/>
  <c r="B23" i="25"/>
  <c r="D19" i="25"/>
  <c r="D9" i="25"/>
  <c r="D10" i="25"/>
  <c r="D12" i="25"/>
  <c r="AM254" i="24"/>
  <c r="AL254" i="24"/>
  <c r="AK254" i="24"/>
  <c r="AJ254" i="24"/>
  <c r="AI254" i="24"/>
  <c r="AH254" i="24"/>
  <c r="AG254" i="24"/>
  <c r="AF254" i="24"/>
  <c r="AE254" i="24"/>
  <c r="AD254" i="24"/>
  <c r="AC254" i="24"/>
  <c r="AB254" i="24"/>
  <c r="AA254" i="24"/>
  <c r="Z254" i="24"/>
  <c r="Y254" i="24"/>
  <c r="X254" i="24"/>
  <c r="W254" i="24"/>
  <c r="V254" i="24"/>
  <c r="U254" i="24"/>
  <c r="T254" i="24"/>
  <c r="S254" i="24"/>
  <c r="R254" i="24"/>
  <c r="Q254" i="24"/>
  <c r="P254" i="24"/>
  <c r="O254" i="24"/>
  <c r="N254" i="24"/>
  <c r="M254" i="24"/>
  <c r="L254" i="24"/>
  <c r="K254" i="24"/>
  <c r="J254" i="24"/>
  <c r="I254" i="24"/>
  <c r="C73" i="24"/>
  <c r="C85" i="24"/>
  <c r="C97" i="24"/>
  <c r="C109" i="24"/>
  <c r="C121" i="24"/>
  <c r="C133" i="24"/>
  <c r="C145" i="24"/>
  <c r="C157" i="24"/>
  <c r="C169" i="24"/>
  <c r="C181" i="24"/>
  <c r="C193" i="24"/>
  <c r="C205" i="24"/>
  <c r="C217" i="24"/>
  <c r="C229" i="24"/>
  <c r="C241" i="24"/>
  <c r="C71" i="24"/>
  <c r="C254" i="24"/>
  <c r="D73" i="24"/>
  <c r="D85" i="24"/>
  <c r="D97" i="24"/>
  <c r="D109" i="24"/>
  <c r="D121" i="24"/>
  <c r="D133" i="24"/>
  <c r="D145" i="24"/>
  <c r="D157" i="24"/>
  <c r="D169" i="24"/>
  <c r="D181" i="24"/>
  <c r="D193" i="24"/>
  <c r="D205" i="24"/>
  <c r="D217" i="24"/>
  <c r="D229" i="24"/>
  <c r="D241" i="24"/>
  <c r="D71" i="24"/>
  <c r="D254" i="24"/>
  <c r="E254" i="24"/>
  <c r="F251" i="24"/>
  <c r="E251" i="24"/>
  <c r="B251" i="24"/>
  <c r="F250" i="24"/>
  <c r="E250" i="24"/>
  <c r="B250" i="24"/>
  <c r="F249" i="24"/>
  <c r="E249" i="24"/>
  <c r="B249" i="24"/>
  <c r="F248" i="24"/>
  <c r="E248" i="24"/>
  <c r="B248" i="24"/>
  <c r="F247" i="24"/>
  <c r="E247" i="24"/>
  <c r="B247" i="24"/>
  <c r="F246" i="24"/>
  <c r="E246" i="24"/>
  <c r="B246" i="24"/>
  <c r="F245" i="24"/>
  <c r="E245" i="24"/>
  <c r="B245" i="24"/>
  <c r="F244" i="24"/>
  <c r="E244" i="24"/>
  <c r="B244" i="24"/>
  <c r="F243" i="24"/>
  <c r="E243" i="24"/>
  <c r="B243" i="24"/>
  <c r="F242" i="24"/>
  <c r="E242" i="24"/>
  <c r="B242" i="24"/>
  <c r="F241" i="24"/>
  <c r="E241" i="24"/>
  <c r="B241" i="24"/>
  <c r="F239" i="24"/>
  <c r="E239" i="24"/>
  <c r="B239" i="24"/>
  <c r="F238" i="24"/>
  <c r="E238" i="24"/>
  <c r="B238" i="24"/>
  <c r="F237" i="24"/>
  <c r="E237" i="24"/>
  <c r="B237" i="24"/>
  <c r="F236" i="24"/>
  <c r="E236" i="24"/>
  <c r="B236" i="24"/>
  <c r="F235" i="24"/>
  <c r="E235" i="24"/>
  <c r="B235" i="24"/>
  <c r="F234" i="24"/>
  <c r="E234" i="24"/>
  <c r="B234" i="24"/>
  <c r="F233" i="24"/>
  <c r="E233" i="24"/>
  <c r="B233" i="24"/>
  <c r="F232" i="24"/>
  <c r="E232" i="24"/>
  <c r="B232" i="24"/>
  <c r="F231" i="24"/>
  <c r="E231" i="24"/>
  <c r="B231" i="24"/>
  <c r="F230" i="24"/>
  <c r="E230" i="24"/>
  <c r="B230" i="24"/>
  <c r="F229" i="24"/>
  <c r="E229" i="24"/>
  <c r="B229" i="24"/>
  <c r="F227" i="24"/>
  <c r="E227" i="24"/>
  <c r="B227" i="24"/>
  <c r="F226" i="24"/>
  <c r="E226" i="24"/>
  <c r="B226" i="24"/>
  <c r="F225" i="24"/>
  <c r="E225" i="24"/>
  <c r="B225" i="24"/>
  <c r="F224" i="24"/>
  <c r="E224" i="24"/>
  <c r="B224" i="24"/>
  <c r="F223" i="24"/>
  <c r="E223" i="24"/>
  <c r="B223" i="24"/>
  <c r="F222" i="24"/>
  <c r="E222" i="24"/>
  <c r="B222" i="24"/>
  <c r="F221" i="24"/>
  <c r="E221" i="24"/>
  <c r="B221" i="24"/>
  <c r="F220" i="24"/>
  <c r="E220" i="24"/>
  <c r="B220" i="24"/>
  <c r="F219" i="24"/>
  <c r="E219" i="24"/>
  <c r="B219" i="24"/>
  <c r="F218" i="24"/>
  <c r="E218" i="24"/>
  <c r="B218" i="24"/>
  <c r="F217" i="24"/>
  <c r="E217" i="24"/>
  <c r="B217" i="24"/>
  <c r="F215" i="24"/>
  <c r="E215" i="24"/>
  <c r="B215" i="24"/>
  <c r="F214" i="24"/>
  <c r="E214" i="24"/>
  <c r="B214" i="24"/>
  <c r="F213" i="24"/>
  <c r="E213" i="24"/>
  <c r="B213" i="24"/>
  <c r="F212" i="24"/>
  <c r="E212" i="24"/>
  <c r="B212" i="24"/>
  <c r="F211" i="24"/>
  <c r="E211" i="24"/>
  <c r="B211" i="24"/>
  <c r="F210" i="24"/>
  <c r="E210" i="24"/>
  <c r="B210" i="24"/>
  <c r="F209" i="24"/>
  <c r="E209" i="24"/>
  <c r="B209" i="24"/>
  <c r="F208" i="24"/>
  <c r="E208" i="24"/>
  <c r="B208" i="24"/>
  <c r="F207" i="24"/>
  <c r="E207" i="24"/>
  <c r="B207" i="24"/>
  <c r="F206" i="24"/>
  <c r="E206" i="24"/>
  <c r="B206" i="24"/>
  <c r="F205" i="24"/>
  <c r="E205" i="24"/>
  <c r="B205" i="24"/>
  <c r="F203" i="24"/>
  <c r="E203" i="24"/>
  <c r="B203" i="24"/>
  <c r="F202" i="24"/>
  <c r="E202" i="24"/>
  <c r="B202" i="24"/>
  <c r="F201" i="24"/>
  <c r="E201" i="24"/>
  <c r="B201" i="24"/>
  <c r="F200" i="24"/>
  <c r="E200" i="24"/>
  <c r="B200" i="24"/>
  <c r="F199" i="24"/>
  <c r="E199" i="24"/>
  <c r="B199" i="24"/>
  <c r="F198" i="24"/>
  <c r="E198" i="24"/>
  <c r="B198" i="24"/>
  <c r="F197" i="24"/>
  <c r="E197" i="24"/>
  <c r="B197" i="24"/>
  <c r="F196" i="24"/>
  <c r="E196" i="24"/>
  <c r="B196" i="24"/>
  <c r="F195" i="24"/>
  <c r="E195" i="24"/>
  <c r="B195" i="24"/>
  <c r="F194" i="24"/>
  <c r="E194" i="24"/>
  <c r="B194" i="24"/>
  <c r="F193" i="24"/>
  <c r="E193" i="24"/>
  <c r="B193" i="24"/>
  <c r="F191" i="24"/>
  <c r="E191" i="24"/>
  <c r="B191" i="24"/>
  <c r="F190" i="24"/>
  <c r="E190" i="24"/>
  <c r="B190" i="24"/>
  <c r="F189" i="24"/>
  <c r="E189" i="24"/>
  <c r="B189" i="24"/>
  <c r="F188" i="24"/>
  <c r="E188" i="24"/>
  <c r="B188" i="24"/>
  <c r="F187" i="24"/>
  <c r="E187" i="24"/>
  <c r="B187" i="24"/>
  <c r="F186" i="24"/>
  <c r="E186" i="24"/>
  <c r="B186" i="24"/>
  <c r="F185" i="24"/>
  <c r="E185" i="24"/>
  <c r="B185" i="24"/>
  <c r="F184" i="24"/>
  <c r="E184" i="24"/>
  <c r="B184" i="24"/>
  <c r="F183" i="24"/>
  <c r="E183" i="24"/>
  <c r="B183" i="24"/>
  <c r="F182" i="24"/>
  <c r="E182" i="24"/>
  <c r="B182" i="24"/>
  <c r="F181" i="24"/>
  <c r="E181" i="24"/>
  <c r="B181" i="24"/>
  <c r="F179" i="24"/>
  <c r="E179" i="24"/>
  <c r="B179" i="24"/>
  <c r="F178" i="24"/>
  <c r="E178" i="24"/>
  <c r="B178" i="24"/>
  <c r="F177" i="24"/>
  <c r="E177" i="24"/>
  <c r="B177" i="24"/>
  <c r="F176" i="24"/>
  <c r="E176" i="24"/>
  <c r="B176" i="24"/>
  <c r="F175" i="24"/>
  <c r="E175" i="24"/>
  <c r="B175" i="24"/>
  <c r="F174" i="24"/>
  <c r="E174" i="24"/>
  <c r="B174" i="24"/>
  <c r="F173" i="24"/>
  <c r="E173" i="24"/>
  <c r="B173" i="24"/>
  <c r="F172" i="24"/>
  <c r="E172" i="24"/>
  <c r="B172" i="24"/>
  <c r="F171" i="24"/>
  <c r="E171" i="24"/>
  <c r="B171" i="24"/>
  <c r="F170" i="24"/>
  <c r="E170" i="24"/>
  <c r="B170" i="24"/>
  <c r="F169" i="24"/>
  <c r="E169" i="24"/>
  <c r="B169" i="24"/>
  <c r="F167" i="24"/>
  <c r="E167" i="24"/>
  <c r="B167" i="24"/>
  <c r="F166" i="24"/>
  <c r="E166" i="24"/>
  <c r="B166" i="24"/>
  <c r="F165" i="24"/>
  <c r="E165" i="24"/>
  <c r="B165" i="24"/>
  <c r="F164" i="24"/>
  <c r="E164" i="24"/>
  <c r="B164" i="24"/>
  <c r="F163" i="24"/>
  <c r="E163" i="24"/>
  <c r="B163" i="24"/>
  <c r="F162" i="24"/>
  <c r="E162" i="24"/>
  <c r="B162" i="24"/>
  <c r="F161" i="24"/>
  <c r="E161" i="24"/>
  <c r="B161" i="24"/>
  <c r="F160" i="24"/>
  <c r="E160" i="24"/>
  <c r="B160" i="24"/>
  <c r="F159" i="24"/>
  <c r="E159" i="24"/>
  <c r="B159" i="24"/>
  <c r="F158" i="24"/>
  <c r="E158" i="24"/>
  <c r="B158" i="24"/>
  <c r="F157" i="24"/>
  <c r="E157" i="24"/>
  <c r="B157" i="24"/>
  <c r="F155" i="24"/>
  <c r="E155" i="24"/>
  <c r="B155" i="24"/>
  <c r="F154" i="24"/>
  <c r="E154" i="24"/>
  <c r="B154" i="24"/>
  <c r="F153" i="24"/>
  <c r="E153" i="24"/>
  <c r="B153" i="24"/>
  <c r="F152" i="24"/>
  <c r="E152" i="24"/>
  <c r="B152" i="24"/>
  <c r="F151" i="24"/>
  <c r="E151" i="24"/>
  <c r="B151" i="24"/>
  <c r="F150" i="24"/>
  <c r="E150" i="24"/>
  <c r="B150" i="24"/>
  <c r="F149" i="24"/>
  <c r="E149" i="24"/>
  <c r="B149" i="24"/>
  <c r="F148" i="24"/>
  <c r="E148" i="24"/>
  <c r="B148" i="24"/>
  <c r="F147" i="24"/>
  <c r="E147" i="24"/>
  <c r="B147" i="24"/>
  <c r="F146" i="24"/>
  <c r="E146" i="24"/>
  <c r="B146" i="24"/>
  <c r="F145" i="24"/>
  <c r="E145" i="24"/>
  <c r="B145" i="24"/>
  <c r="F143" i="24"/>
  <c r="E143" i="24"/>
  <c r="B143" i="24"/>
  <c r="F142" i="24"/>
  <c r="E142" i="24"/>
  <c r="B142" i="24"/>
  <c r="F141" i="24"/>
  <c r="E141" i="24"/>
  <c r="B141" i="24"/>
  <c r="F140" i="24"/>
  <c r="E140" i="24"/>
  <c r="B140" i="24"/>
  <c r="F139" i="24"/>
  <c r="E139" i="24"/>
  <c r="B139" i="24"/>
  <c r="F138" i="24"/>
  <c r="E138" i="24"/>
  <c r="B138" i="24"/>
  <c r="F137" i="24"/>
  <c r="E137" i="24"/>
  <c r="B137" i="24"/>
  <c r="F136" i="24"/>
  <c r="E136" i="24"/>
  <c r="B136" i="24"/>
  <c r="F135" i="24"/>
  <c r="E135" i="24"/>
  <c r="B135" i="24"/>
  <c r="F134" i="24"/>
  <c r="E134" i="24"/>
  <c r="B134" i="24"/>
  <c r="F133" i="24"/>
  <c r="E133" i="24"/>
  <c r="B133" i="24"/>
  <c r="F131" i="24"/>
  <c r="E131" i="24"/>
  <c r="B131" i="24"/>
  <c r="F130" i="24"/>
  <c r="E130" i="24"/>
  <c r="B130" i="24"/>
  <c r="F129" i="24"/>
  <c r="E129" i="24"/>
  <c r="B129" i="24"/>
  <c r="F128" i="24"/>
  <c r="E128" i="24"/>
  <c r="B128" i="24"/>
  <c r="F127" i="24"/>
  <c r="E127" i="24"/>
  <c r="B127" i="24"/>
  <c r="F126" i="24"/>
  <c r="E126" i="24"/>
  <c r="B126" i="24"/>
  <c r="F125" i="24"/>
  <c r="E125" i="24"/>
  <c r="B125" i="24"/>
  <c r="F124" i="24"/>
  <c r="E124" i="24"/>
  <c r="B124" i="24"/>
  <c r="F123" i="24"/>
  <c r="E123" i="24"/>
  <c r="B123" i="24"/>
  <c r="F122" i="24"/>
  <c r="E122" i="24"/>
  <c r="B122" i="24"/>
  <c r="F121" i="24"/>
  <c r="E121" i="24"/>
  <c r="B121" i="24"/>
  <c r="F119" i="24"/>
  <c r="E119" i="24"/>
  <c r="B119" i="24"/>
  <c r="F118" i="24"/>
  <c r="E118" i="24"/>
  <c r="B118" i="24"/>
  <c r="F117" i="24"/>
  <c r="E117" i="24"/>
  <c r="B117" i="24"/>
  <c r="F116" i="24"/>
  <c r="E116" i="24"/>
  <c r="B116" i="24"/>
  <c r="F115" i="24"/>
  <c r="E115" i="24"/>
  <c r="B115" i="24"/>
  <c r="F114" i="24"/>
  <c r="E114" i="24"/>
  <c r="B114" i="24"/>
  <c r="F113" i="24"/>
  <c r="E113" i="24"/>
  <c r="B113" i="24"/>
  <c r="F112" i="24"/>
  <c r="E112" i="24"/>
  <c r="B112" i="24"/>
  <c r="F111" i="24"/>
  <c r="E111" i="24"/>
  <c r="B111" i="24"/>
  <c r="F110" i="24"/>
  <c r="E110" i="24"/>
  <c r="B110" i="24"/>
  <c r="F109" i="24"/>
  <c r="E109" i="24"/>
  <c r="B109" i="24"/>
  <c r="F107" i="24"/>
  <c r="E107" i="24"/>
  <c r="B107" i="24"/>
  <c r="F106" i="24"/>
  <c r="E106" i="24"/>
  <c r="B106" i="24"/>
  <c r="F105" i="24"/>
  <c r="E105" i="24"/>
  <c r="B105" i="24"/>
  <c r="F104" i="24"/>
  <c r="E104" i="24"/>
  <c r="B104" i="24"/>
  <c r="F103" i="24"/>
  <c r="E103" i="24"/>
  <c r="B103" i="24"/>
  <c r="F102" i="24"/>
  <c r="E102" i="24"/>
  <c r="B102" i="24"/>
  <c r="F101" i="24"/>
  <c r="E101" i="24"/>
  <c r="B101" i="24"/>
  <c r="F100" i="24"/>
  <c r="E100" i="24"/>
  <c r="B100" i="24"/>
  <c r="F99" i="24"/>
  <c r="E99" i="24"/>
  <c r="B99" i="24"/>
  <c r="F98" i="24"/>
  <c r="E98" i="24"/>
  <c r="B98" i="24"/>
  <c r="F97" i="24"/>
  <c r="E97" i="24"/>
  <c r="B97" i="24"/>
  <c r="F95" i="24"/>
  <c r="E95" i="24"/>
  <c r="B95" i="24"/>
  <c r="F94" i="24"/>
  <c r="E94" i="24"/>
  <c r="B94" i="24"/>
  <c r="F93" i="24"/>
  <c r="E93" i="24"/>
  <c r="B93" i="24"/>
  <c r="F92" i="24"/>
  <c r="E92" i="24"/>
  <c r="B92" i="24"/>
  <c r="F91" i="24"/>
  <c r="E91" i="24"/>
  <c r="B91" i="24"/>
  <c r="F90" i="24"/>
  <c r="E90" i="24"/>
  <c r="B90" i="24"/>
  <c r="F89" i="24"/>
  <c r="E89" i="24"/>
  <c r="B89" i="24"/>
  <c r="F88" i="24"/>
  <c r="E88" i="24"/>
  <c r="B88" i="24"/>
  <c r="F87" i="24"/>
  <c r="E87" i="24"/>
  <c r="B87" i="24"/>
  <c r="F86" i="24"/>
  <c r="E86" i="24"/>
  <c r="B86" i="24"/>
  <c r="F85" i="24"/>
  <c r="E85" i="24"/>
  <c r="B85" i="24"/>
  <c r="F83" i="24"/>
  <c r="E83" i="24"/>
  <c r="B83" i="24"/>
  <c r="F82" i="24"/>
  <c r="E82" i="24"/>
  <c r="B82" i="24"/>
  <c r="F81" i="24"/>
  <c r="E81" i="24"/>
  <c r="B81" i="24"/>
  <c r="F80" i="24"/>
  <c r="E80" i="24"/>
  <c r="B80" i="24"/>
  <c r="F79" i="24"/>
  <c r="E79" i="24"/>
  <c r="B79" i="24"/>
  <c r="F78" i="24"/>
  <c r="E78" i="24"/>
  <c r="B78" i="24"/>
  <c r="F77" i="24"/>
  <c r="E77" i="24"/>
  <c r="B77" i="24"/>
  <c r="F76" i="24"/>
  <c r="E76" i="24"/>
  <c r="B76" i="24"/>
  <c r="F75" i="24"/>
  <c r="E75" i="24"/>
  <c r="B75" i="24"/>
  <c r="F74" i="24"/>
  <c r="E74" i="24"/>
  <c r="B74" i="24"/>
  <c r="F73" i="24"/>
  <c r="E73" i="24"/>
  <c r="B73" i="24"/>
  <c r="AM71" i="24"/>
  <c r="AL71" i="24"/>
  <c r="AK71" i="24"/>
  <c r="AJ71" i="24"/>
  <c r="AI71" i="24"/>
  <c r="AH71" i="24"/>
  <c r="AG71" i="24"/>
  <c r="AF71" i="24"/>
  <c r="AE71" i="24"/>
  <c r="AD71" i="24"/>
  <c r="AC71" i="24"/>
  <c r="AB71" i="24"/>
  <c r="AA71" i="24"/>
  <c r="Z71" i="24"/>
  <c r="Y71" i="24"/>
  <c r="X71" i="24"/>
  <c r="W71" i="24"/>
  <c r="V71" i="24"/>
  <c r="U71" i="24"/>
  <c r="T71" i="24"/>
  <c r="S71" i="24"/>
  <c r="R71" i="24"/>
  <c r="Q71" i="24"/>
  <c r="P71" i="24"/>
  <c r="O71" i="24"/>
  <c r="N71" i="24"/>
  <c r="M71" i="24"/>
  <c r="L71" i="24"/>
  <c r="K71" i="24"/>
  <c r="J71" i="24"/>
  <c r="I71" i="24"/>
  <c r="E71" i="24"/>
  <c r="F66" i="24"/>
  <c r="E66" i="24"/>
  <c r="B66" i="24"/>
  <c r="F65" i="24"/>
  <c r="E65" i="24"/>
  <c r="B65" i="24"/>
  <c r="F64" i="24"/>
  <c r="E64" i="24"/>
  <c r="B64" i="24"/>
  <c r="F63" i="24"/>
  <c r="E63" i="24"/>
  <c r="B63" i="24"/>
  <c r="F62" i="24"/>
  <c r="E62" i="24"/>
  <c r="B62" i="24"/>
  <c r="F61" i="24"/>
  <c r="E61" i="24"/>
  <c r="B61" i="24"/>
  <c r="F60" i="24"/>
  <c r="E60" i="24"/>
  <c r="B60" i="24"/>
  <c r="F59" i="24"/>
  <c r="E59" i="24"/>
  <c r="B59" i="24"/>
  <c r="F58" i="24"/>
  <c r="E58" i="24"/>
  <c r="B58" i="24"/>
  <c r="F57" i="24"/>
  <c r="E57" i="24"/>
  <c r="B57" i="24"/>
  <c r="F56" i="24"/>
  <c r="E56" i="24"/>
  <c r="B56" i="24"/>
  <c r="F55" i="24"/>
  <c r="E55" i="24"/>
  <c r="B55" i="24"/>
  <c r="F54" i="24"/>
  <c r="E54" i="24"/>
  <c r="B54" i="24"/>
  <c r="F53" i="24"/>
  <c r="E53" i="24"/>
  <c r="B53" i="24"/>
  <c r="F52" i="24"/>
  <c r="E52" i="24"/>
  <c r="B52" i="24"/>
  <c r="D51" i="24"/>
  <c r="C51" i="24"/>
  <c r="F51" i="24"/>
  <c r="E51" i="24"/>
  <c r="B51" i="24"/>
  <c r="AM49" i="24"/>
  <c r="AL49" i="24"/>
  <c r="AK49" i="24"/>
  <c r="AJ49" i="24"/>
  <c r="AI49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D49" i="24"/>
  <c r="C49" i="24"/>
  <c r="E49" i="24"/>
  <c r="E41" i="24"/>
  <c r="C41" i="24"/>
  <c r="B41" i="24"/>
  <c r="E40" i="24"/>
  <c r="C40" i="24"/>
  <c r="B40" i="24"/>
  <c r="E39" i="24"/>
  <c r="C39" i="24"/>
  <c r="B39" i="24"/>
  <c r="E38" i="24"/>
  <c r="C38" i="24"/>
  <c r="B38" i="24"/>
  <c r="E37" i="24"/>
  <c r="C37" i="24"/>
  <c r="B37" i="24"/>
  <c r="E36" i="24"/>
  <c r="C36" i="24"/>
  <c r="B36" i="24"/>
  <c r="E35" i="24"/>
  <c r="C35" i="24"/>
  <c r="B35" i="24"/>
  <c r="E34" i="24"/>
  <c r="C34" i="24"/>
  <c r="B34" i="24"/>
  <c r="E33" i="24"/>
  <c r="C33" i="24"/>
  <c r="B33" i="24"/>
  <c r="E32" i="24"/>
  <c r="C32" i="24"/>
  <c r="B32" i="24"/>
  <c r="E31" i="24"/>
  <c r="C31" i="24"/>
  <c r="B31" i="24"/>
  <c r="E30" i="24"/>
  <c r="C30" i="24"/>
  <c r="B30" i="24"/>
  <c r="E29" i="24"/>
  <c r="C29" i="24"/>
  <c r="B29" i="24"/>
  <c r="E28" i="24"/>
  <c r="C28" i="24"/>
  <c r="B28" i="24"/>
  <c r="E27" i="24"/>
  <c r="C27" i="24"/>
  <c r="B27" i="24"/>
  <c r="D17" i="24"/>
  <c r="D16" i="24"/>
  <c r="E23" i="24"/>
  <c r="B23" i="24"/>
  <c r="D19" i="24"/>
  <c r="D9" i="24"/>
  <c r="D10" i="24"/>
  <c r="D12" i="24"/>
  <c r="AM254" i="23"/>
  <c r="AL254" i="23"/>
  <c r="AK254" i="23"/>
  <c r="AJ254" i="23"/>
  <c r="AI254" i="23"/>
  <c r="AH254" i="23"/>
  <c r="AG254" i="23"/>
  <c r="AF254" i="23"/>
  <c r="AE254" i="23"/>
  <c r="AD254" i="23"/>
  <c r="AC254" i="23"/>
  <c r="AB254" i="23"/>
  <c r="AA254" i="23"/>
  <c r="Z254" i="23"/>
  <c r="Y254" i="23"/>
  <c r="X254" i="23"/>
  <c r="W254" i="23"/>
  <c r="V254" i="23"/>
  <c r="U254" i="23"/>
  <c r="T254" i="23"/>
  <c r="S254" i="23"/>
  <c r="R254" i="23"/>
  <c r="Q254" i="23"/>
  <c r="P254" i="23"/>
  <c r="O254" i="23"/>
  <c r="N254" i="23"/>
  <c r="M254" i="23"/>
  <c r="L254" i="23"/>
  <c r="K254" i="23"/>
  <c r="J254" i="23"/>
  <c r="I254" i="23"/>
  <c r="C73" i="23"/>
  <c r="C85" i="23"/>
  <c r="C97" i="23"/>
  <c r="C109" i="23"/>
  <c r="C121" i="23"/>
  <c r="C133" i="23"/>
  <c r="C145" i="23"/>
  <c r="C157" i="23"/>
  <c r="C169" i="23"/>
  <c r="C181" i="23"/>
  <c r="C193" i="23"/>
  <c r="C205" i="23"/>
  <c r="C217" i="23"/>
  <c r="C229" i="23"/>
  <c r="C241" i="23"/>
  <c r="C71" i="23"/>
  <c r="C254" i="23"/>
  <c r="D73" i="23"/>
  <c r="D85" i="23"/>
  <c r="D97" i="23"/>
  <c r="D109" i="23"/>
  <c r="D121" i="23"/>
  <c r="D133" i="23"/>
  <c r="D145" i="23"/>
  <c r="D157" i="23"/>
  <c r="D169" i="23"/>
  <c r="D181" i="23"/>
  <c r="D193" i="23"/>
  <c r="D205" i="23"/>
  <c r="D217" i="23"/>
  <c r="D229" i="23"/>
  <c r="D241" i="23"/>
  <c r="D71" i="23"/>
  <c r="D254" i="23"/>
  <c r="E254" i="23"/>
  <c r="F251" i="23"/>
  <c r="E251" i="23"/>
  <c r="B251" i="23"/>
  <c r="F250" i="23"/>
  <c r="E250" i="23"/>
  <c r="B250" i="23"/>
  <c r="F249" i="23"/>
  <c r="E249" i="23"/>
  <c r="B249" i="23"/>
  <c r="F248" i="23"/>
  <c r="E248" i="23"/>
  <c r="B248" i="23"/>
  <c r="F247" i="23"/>
  <c r="E247" i="23"/>
  <c r="B247" i="23"/>
  <c r="F246" i="23"/>
  <c r="E246" i="23"/>
  <c r="B246" i="23"/>
  <c r="F245" i="23"/>
  <c r="E245" i="23"/>
  <c r="B245" i="23"/>
  <c r="F244" i="23"/>
  <c r="E244" i="23"/>
  <c r="B244" i="23"/>
  <c r="F243" i="23"/>
  <c r="E243" i="23"/>
  <c r="B243" i="23"/>
  <c r="F242" i="23"/>
  <c r="E242" i="23"/>
  <c r="B242" i="23"/>
  <c r="F241" i="23"/>
  <c r="E241" i="23"/>
  <c r="B241" i="23"/>
  <c r="F239" i="23"/>
  <c r="E239" i="23"/>
  <c r="B239" i="23"/>
  <c r="F238" i="23"/>
  <c r="E238" i="23"/>
  <c r="B238" i="23"/>
  <c r="F237" i="23"/>
  <c r="E237" i="23"/>
  <c r="B237" i="23"/>
  <c r="F236" i="23"/>
  <c r="E236" i="23"/>
  <c r="B236" i="23"/>
  <c r="F235" i="23"/>
  <c r="E235" i="23"/>
  <c r="B235" i="23"/>
  <c r="F234" i="23"/>
  <c r="E234" i="23"/>
  <c r="B234" i="23"/>
  <c r="F233" i="23"/>
  <c r="E233" i="23"/>
  <c r="B233" i="23"/>
  <c r="F232" i="23"/>
  <c r="E232" i="23"/>
  <c r="B232" i="23"/>
  <c r="F231" i="23"/>
  <c r="E231" i="23"/>
  <c r="B231" i="23"/>
  <c r="F230" i="23"/>
  <c r="E230" i="23"/>
  <c r="B230" i="23"/>
  <c r="F229" i="23"/>
  <c r="E229" i="23"/>
  <c r="B229" i="23"/>
  <c r="F227" i="23"/>
  <c r="E227" i="23"/>
  <c r="B227" i="23"/>
  <c r="F226" i="23"/>
  <c r="E226" i="23"/>
  <c r="B226" i="23"/>
  <c r="F225" i="23"/>
  <c r="E225" i="23"/>
  <c r="B225" i="23"/>
  <c r="F224" i="23"/>
  <c r="E224" i="23"/>
  <c r="B224" i="23"/>
  <c r="F223" i="23"/>
  <c r="E223" i="23"/>
  <c r="B223" i="23"/>
  <c r="F222" i="23"/>
  <c r="E222" i="23"/>
  <c r="B222" i="23"/>
  <c r="F221" i="23"/>
  <c r="E221" i="23"/>
  <c r="B221" i="23"/>
  <c r="F220" i="23"/>
  <c r="E220" i="23"/>
  <c r="B220" i="23"/>
  <c r="F219" i="23"/>
  <c r="E219" i="23"/>
  <c r="B219" i="23"/>
  <c r="F218" i="23"/>
  <c r="E218" i="23"/>
  <c r="B218" i="23"/>
  <c r="F217" i="23"/>
  <c r="E217" i="23"/>
  <c r="B217" i="23"/>
  <c r="F215" i="23"/>
  <c r="E215" i="23"/>
  <c r="B215" i="23"/>
  <c r="F214" i="23"/>
  <c r="E214" i="23"/>
  <c r="B214" i="23"/>
  <c r="F213" i="23"/>
  <c r="E213" i="23"/>
  <c r="B213" i="23"/>
  <c r="F212" i="23"/>
  <c r="E212" i="23"/>
  <c r="B212" i="23"/>
  <c r="F211" i="23"/>
  <c r="E211" i="23"/>
  <c r="B211" i="23"/>
  <c r="F210" i="23"/>
  <c r="E210" i="23"/>
  <c r="B210" i="23"/>
  <c r="F209" i="23"/>
  <c r="E209" i="23"/>
  <c r="B209" i="23"/>
  <c r="F208" i="23"/>
  <c r="E208" i="23"/>
  <c r="B208" i="23"/>
  <c r="F207" i="23"/>
  <c r="E207" i="23"/>
  <c r="B207" i="23"/>
  <c r="F206" i="23"/>
  <c r="E206" i="23"/>
  <c r="B206" i="23"/>
  <c r="F205" i="23"/>
  <c r="E205" i="23"/>
  <c r="B205" i="23"/>
  <c r="F203" i="23"/>
  <c r="E203" i="23"/>
  <c r="B203" i="23"/>
  <c r="F202" i="23"/>
  <c r="E202" i="23"/>
  <c r="B202" i="23"/>
  <c r="F201" i="23"/>
  <c r="E201" i="23"/>
  <c r="B201" i="23"/>
  <c r="F200" i="23"/>
  <c r="E200" i="23"/>
  <c r="B200" i="23"/>
  <c r="F199" i="23"/>
  <c r="E199" i="23"/>
  <c r="B199" i="23"/>
  <c r="F198" i="23"/>
  <c r="E198" i="23"/>
  <c r="B198" i="23"/>
  <c r="F197" i="23"/>
  <c r="E197" i="23"/>
  <c r="B197" i="23"/>
  <c r="F196" i="23"/>
  <c r="E196" i="23"/>
  <c r="B196" i="23"/>
  <c r="F195" i="23"/>
  <c r="E195" i="23"/>
  <c r="B195" i="23"/>
  <c r="F194" i="23"/>
  <c r="E194" i="23"/>
  <c r="B194" i="23"/>
  <c r="F193" i="23"/>
  <c r="E193" i="23"/>
  <c r="B193" i="23"/>
  <c r="F191" i="23"/>
  <c r="E191" i="23"/>
  <c r="B191" i="23"/>
  <c r="F190" i="23"/>
  <c r="E190" i="23"/>
  <c r="B190" i="23"/>
  <c r="F189" i="23"/>
  <c r="E189" i="23"/>
  <c r="B189" i="23"/>
  <c r="F188" i="23"/>
  <c r="E188" i="23"/>
  <c r="B188" i="23"/>
  <c r="F187" i="23"/>
  <c r="E187" i="23"/>
  <c r="B187" i="23"/>
  <c r="F186" i="23"/>
  <c r="E186" i="23"/>
  <c r="B186" i="23"/>
  <c r="F185" i="23"/>
  <c r="E185" i="23"/>
  <c r="B185" i="23"/>
  <c r="F184" i="23"/>
  <c r="E184" i="23"/>
  <c r="B184" i="23"/>
  <c r="F183" i="23"/>
  <c r="E183" i="23"/>
  <c r="B183" i="23"/>
  <c r="F182" i="23"/>
  <c r="E182" i="23"/>
  <c r="B182" i="23"/>
  <c r="F181" i="23"/>
  <c r="E181" i="23"/>
  <c r="B181" i="23"/>
  <c r="F179" i="23"/>
  <c r="E179" i="23"/>
  <c r="B179" i="23"/>
  <c r="F178" i="23"/>
  <c r="E178" i="23"/>
  <c r="B178" i="23"/>
  <c r="F177" i="23"/>
  <c r="E177" i="23"/>
  <c r="B177" i="23"/>
  <c r="F176" i="23"/>
  <c r="E176" i="23"/>
  <c r="B176" i="23"/>
  <c r="F175" i="23"/>
  <c r="E175" i="23"/>
  <c r="B175" i="23"/>
  <c r="F174" i="23"/>
  <c r="E174" i="23"/>
  <c r="B174" i="23"/>
  <c r="F173" i="23"/>
  <c r="E173" i="23"/>
  <c r="B173" i="23"/>
  <c r="F172" i="23"/>
  <c r="E172" i="23"/>
  <c r="B172" i="23"/>
  <c r="F171" i="23"/>
  <c r="E171" i="23"/>
  <c r="B171" i="23"/>
  <c r="F170" i="23"/>
  <c r="E170" i="23"/>
  <c r="B170" i="23"/>
  <c r="F169" i="23"/>
  <c r="E169" i="23"/>
  <c r="B169" i="23"/>
  <c r="F167" i="23"/>
  <c r="E167" i="23"/>
  <c r="B167" i="23"/>
  <c r="F166" i="23"/>
  <c r="E166" i="23"/>
  <c r="B166" i="23"/>
  <c r="F165" i="23"/>
  <c r="E165" i="23"/>
  <c r="B165" i="23"/>
  <c r="F164" i="23"/>
  <c r="E164" i="23"/>
  <c r="B164" i="23"/>
  <c r="F163" i="23"/>
  <c r="E163" i="23"/>
  <c r="B163" i="23"/>
  <c r="F162" i="23"/>
  <c r="E162" i="23"/>
  <c r="B162" i="23"/>
  <c r="F161" i="23"/>
  <c r="E161" i="23"/>
  <c r="B161" i="23"/>
  <c r="F160" i="23"/>
  <c r="E160" i="23"/>
  <c r="B160" i="23"/>
  <c r="F159" i="23"/>
  <c r="E159" i="23"/>
  <c r="B159" i="23"/>
  <c r="F158" i="23"/>
  <c r="E158" i="23"/>
  <c r="B158" i="23"/>
  <c r="F157" i="23"/>
  <c r="E157" i="23"/>
  <c r="B157" i="23"/>
  <c r="F155" i="23"/>
  <c r="E155" i="23"/>
  <c r="B155" i="23"/>
  <c r="F154" i="23"/>
  <c r="E154" i="23"/>
  <c r="B154" i="23"/>
  <c r="F153" i="23"/>
  <c r="E153" i="23"/>
  <c r="B153" i="23"/>
  <c r="F152" i="23"/>
  <c r="E152" i="23"/>
  <c r="B152" i="23"/>
  <c r="F151" i="23"/>
  <c r="E151" i="23"/>
  <c r="B151" i="23"/>
  <c r="F150" i="23"/>
  <c r="E150" i="23"/>
  <c r="B150" i="23"/>
  <c r="F149" i="23"/>
  <c r="E149" i="23"/>
  <c r="B149" i="23"/>
  <c r="F148" i="23"/>
  <c r="E148" i="23"/>
  <c r="B148" i="23"/>
  <c r="F147" i="23"/>
  <c r="E147" i="23"/>
  <c r="B147" i="23"/>
  <c r="F146" i="23"/>
  <c r="E146" i="23"/>
  <c r="B146" i="23"/>
  <c r="F145" i="23"/>
  <c r="E145" i="23"/>
  <c r="B145" i="23"/>
  <c r="F143" i="23"/>
  <c r="E143" i="23"/>
  <c r="B143" i="23"/>
  <c r="F142" i="23"/>
  <c r="E142" i="23"/>
  <c r="B142" i="23"/>
  <c r="F141" i="23"/>
  <c r="E141" i="23"/>
  <c r="B141" i="23"/>
  <c r="F140" i="23"/>
  <c r="E140" i="23"/>
  <c r="B140" i="23"/>
  <c r="F139" i="23"/>
  <c r="E139" i="23"/>
  <c r="B139" i="23"/>
  <c r="F138" i="23"/>
  <c r="E138" i="23"/>
  <c r="B138" i="23"/>
  <c r="F137" i="23"/>
  <c r="E137" i="23"/>
  <c r="B137" i="23"/>
  <c r="F136" i="23"/>
  <c r="E136" i="23"/>
  <c r="B136" i="23"/>
  <c r="F135" i="23"/>
  <c r="E135" i="23"/>
  <c r="B135" i="23"/>
  <c r="F134" i="23"/>
  <c r="E134" i="23"/>
  <c r="B134" i="23"/>
  <c r="F133" i="23"/>
  <c r="E133" i="23"/>
  <c r="B133" i="23"/>
  <c r="F131" i="23"/>
  <c r="E131" i="23"/>
  <c r="B131" i="23"/>
  <c r="F130" i="23"/>
  <c r="E130" i="23"/>
  <c r="B130" i="23"/>
  <c r="F129" i="23"/>
  <c r="E129" i="23"/>
  <c r="B129" i="23"/>
  <c r="F128" i="23"/>
  <c r="E128" i="23"/>
  <c r="B128" i="23"/>
  <c r="F127" i="23"/>
  <c r="E127" i="23"/>
  <c r="B127" i="23"/>
  <c r="F126" i="23"/>
  <c r="E126" i="23"/>
  <c r="B126" i="23"/>
  <c r="F125" i="23"/>
  <c r="E125" i="23"/>
  <c r="B125" i="23"/>
  <c r="F124" i="23"/>
  <c r="E124" i="23"/>
  <c r="B124" i="23"/>
  <c r="F123" i="23"/>
  <c r="E123" i="23"/>
  <c r="B123" i="23"/>
  <c r="F122" i="23"/>
  <c r="E122" i="23"/>
  <c r="B122" i="23"/>
  <c r="F121" i="23"/>
  <c r="E121" i="23"/>
  <c r="B121" i="23"/>
  <c r="F119" i="23"/>
  <c r="E119" i="23"/>
  <c r="B119" i="23"/>
  <c r="F118" i="23"/>
  <c r="E118" i="23"/>
  <c r="B118" i="23"/>
  <c r="F117" i="23"/>
  <c r="E117" i="23"/>
  <c r="B117" i="23"/>
  <c r="F116" i="23"/>
  <c r="E116" i="23"/>
  <c r="B116" i="23"/>
  <c r="F115" i="23"/>
  <c r="E115" i="23"/>
  <c r="B115" i="23"/>
  <c r="F114" i="23"/>
  <c r="E114" i="23"/>
  <c r="B114" i="23"/>
  <c r="F113" i="23"/>
  <c r="E113" i="23"/>
  <c r="B113" i="23"/>
  <c r="F112" i="23"/>
  <c r="E112" i="23"/>
  <c r="B112" i="23"/>
  <c r="F111" i="23"/>
  <c r="E111" i="23"/>
  <c r="B111" i="23"/>
  <c r="F110" i="23"/>
  <c r="E110" i="23"/>
  <c r="B110" i="23"/>
  <c r="F109" i="23"/>
  <c r="E109" i="23"/>
  <c r="B109" i="23"/>
  <c r="F107" i="23"/>
  <c r="E107" i="23"/>
  <c r="B107" i="23"/>
  <c r="F106" i="23"/>
  <c r="E106" i="23"/>
  <c r="B106" i="23"/>
  <c r="F105" i="23"/>
  <c r="E105" i="23"/>
  <c r="B105" i="23"/>
  <c r="F104" i="23"/>
  <c r="E104" i="23"/>
  <c r="B104" i="23"/>
  <c r="F103" i="23"/>
  <c r="E103" i="23"/>
  <c r="B103" i="23"/>
  <c r="F102" i="23"/>
  <c r="E102" i="23"/>
  <c r="B102" i="23"/>
  <c r="F101" i="23"/>
  <c r="E101" i="23"/>
  <c r="B101" i="23"/>
  <c r="F100" i="23"/>
  <c r="E100" i="23"/>
  <c r="B100" i="23"/>
  <c r="F99" i="23"/>
  <c r="E99" i="23"/>
  <c r="B99" i="23"/>
  <c r="F98" i="23"/>
  <c r="E98" i="23"/>
  <c r="B98" i="23"/>
  <c r="F97" i="23"/>
  <c r="E97" i="23"/>
  <c r="B97" i="23"/>
  <c r="F95" i="23"/>
  <c r="E95" i="23"/>
  <c r="B95" i="23"/>
  <c r="F94" i="23"/>
  <c r="E94" i="23"/>
  <c r="B94" i="23"/>
  <c r="F93" i="23"/>
  <c r="E93" i="23"/>
  <c r="B93" i="23"/>
  <c r="F92" i="23"/>
  <c r="E92" i="23"/>
  <c r="B92" i="23"/>
  <c r="F91" i="23"/>
  <c r="E91" i="23"/>
  <c r="B91" i="23"/>
  <c r="F90" i="23"/>
  <c r="E90" i="23"/>
  <c r="B90" i="23"/>
  <c r="F89" i="23"/>
  <c r="E89" i="23"/>
  <c r="B89" i="23"/>
  <c r="F88" i="23"/>
  <c r="E88" i="23"/>
  <c r="B88" i="23"/>
  <c r="F87" i="23"/>
  <c r="E87" i="23"/>
  <c r="B87" i="23"/>
  <c r="F86" i="23"/>
  <c r="E86" i="23"/>
  <c r="B86" i="23"/>
  <c r="F85" i="23"/>
  <c r="E85" i="23"/>
  <c r="B85" i="23"/>
  <c r="F83" i="23"/>
  <c r="E83" i="23"/>
  <c r="B83" i="23"/>
  <c r="F82" i="23"/>
  <c r="E82" i="23"/>
  <c r="B82" i="23"/>
  <c r="F81" i="23"/>
  <c r="E81" i="23"/>
  <c r="B81" i="23"/>
  <c r="F80" i="23"/>
  <c r="E80" i="23"/>
  <c r="B80" i="23"/>
  <c r="F79" i="23"/>
  <c r="E79" i="23"/>
  <c r="B79" i="23"/>
  <c r="F78" i="23"/>
  <c r="E78" i="23"/>
  <c r="B78" i="23"/>
  <c r="F77" i="23"/>
  <c r="E77" i="23"/>
  <c r="B77" i="23"/>
  <c r="F76" i="23"/>
  <c r="E76" i="23"/>
  <c r="B76" i="23"/>
  <c r="F75" i="23"/>
  <c r="E75" i="23"/>
  <c r="B75" i="23"/>
  <c r="F74" i="23"/>
  <c r="E74" i="23"/>
  <c r="B74" i="23"/>
  <c r="F73" i="23"/>
  <c r="E73" i="23"/>
  <c r="B73" i="23"/>
  <c r="AM71" i="23"/>
  <c r="AL71" i="23"/>
  <c r="AK71" i="23"/>
  <c r="AJ71" i="23"/>
  <c r="AI71" i="23"/>
  <c r="AH71" i="23"/>
  <c r="AG71" i="23"/>
  <c r="AF71" i="23"/>
  <c r="AE71" i="23"/>
  <c r="AD71" i="23"/>
  <c r="AC71" i="23"/>
  <c r="AB71" i="23"/>
  <c r="AA71" i="23"/>
  <c r="Z71" i="23"/>
  <c r="Y71" i="23"/>
  <c r="X71" i="23"/>
  <c r="W71" i="23"/>
  <c r="V71" i="23"/>
  <c r="U71" i="23"/>
  <c r="T71" i="23"/>
  <c r="S71" i="23"/>
  <c r="R71" i="23"/>
  <c r="Q71" i="23"/>
  <c r="P71" i="23"/>
  <c r="O71" i="23"/>
  <c r="N71" i="23"/>
  <c r="M71" i="23"/>
  <c r="L71" i="23"/>
  <c r="K71" i="23"/>
  <c r="J71" i="23"/>
  <c r="I71" i="23"/>
  <c r="E71" i="23"/>
  <c r="F66" i="23"/>
  <c r="E66" i="23"/>
  <c r="B66" i="23"/>
  <c r="F65" i="23"/>
  <c r="E65" i="23"/>
  <c r="B65" i="23"/>
  <c r="F64" i="23"/>
  <c r="E64" i="23"/>
  <c r="B64" i="23"/>
  <c r="F63" i="23"/>
  <c r="E63" i="23"/>
  <c r="B63" i="23"/>
  <c r="F62" i="23"/>
  <c r="E62" i="23"/>
  <c r="B62" i="23"/>
  <c r="F61" i="23"/>
  <c r="E61" i="23"/>
  <c r="B61" i="23"/>
  <c r="F60" i="23"/>
  <c r="E60" i="23"/>
  <c r="B60" i="23"/>
  <c r="F59" i="23"/>
  <c r="E59" i="23"/>
  <c r="B59" i="23"/>
  <c r="F58" i="23"/>
  <c r="E58" i="23"/>
  <c r="B58" i="23"/>
  <c r="F57" i="23"/>
  <c r="E57" i="23"/>
  <c r="B57" i="23"/>
  <c r="F56" i="23"/>
  <c r="E56" i="23"/>
  <c r="B56" i="23"/>
  <c r="F55" i="23"/>
  <c r="E55" i="23"/>
  <c r="B55" i="23"/>
  <c r="F54" i="23"/>
  <c r="E54" i="23"/>
  <c r="B54" i="23"/>
  <c r="F53" i="23"/>
  <c r="E53" i="23"/>
  <c r="B53" i="23"/>
  <c r="F52" i="23"/>
  <c r="E52" i="23"/>
  <c r="B52" i="23"/>
  <c r="D51" i="23"/>
  <c r="C51" i="23"/>
  <c r="F51" i="23"/>
  <c r="E51" i="23"/>
  <c r="B51" i="23"/>
  <c r="AM49" i="23"/>
  <c r="AL49" i="23"/>
  <c r="AK49" i="23"/>
  <c r="AJ49" i="23"/>
  <c r="AI49" i="23"/>
  <c r="AH49" i="23"/>
  <c r="AG49" i="23"/>
  <c r="AF49" i="23"/>
  <c r="AE49" i="23"/>
  <c r="AD49" i="23"/>
  <c r="AC49" i="23"/>
  <c r="AB49" i="23"/>
  <c r="AA49" i="23"/>
  <c r="Z49" i="23"/>
  <c r="Y49" i="23"/>
  <c r="X49" i="23"/>
  <c r="W49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D49" i="23"/>
  <c r="C49" i="23"/>
  <c r="E49" i="23"/>
  <c r="E41" i="23"/>
  <c r="C41" i="23"/>
  <c r="B41" i="23"/>
  <c r="E40" i="23"/>
  <c r="C40" i="23"/>
  <c r="B40" i="23"/>
  <c r="E39" i="23"/>
  <c r="C39" i="23"/>
  <c r="B39" i="23"/>
  <c r="E38" i="23"/>
  <c r="C38" i="23"/>
  <c r="B38" i="23"/>
  <c r="E37" i="23"/>
  <c r="C37" i="23"/>
  <c r="B37" i="23"/>
  <c r="E36" i="23"/>
  <c r="C36" i="23"/>
  <c r="B36" i="23"/>
  <c r="E35" i="23"/>
  <c r="C35" i="23"/>
  <c r="B35" i="23"/>
  <c r="E34" i="23"/>
  <c r="C34" i="23"/>
  <c r="B34" i="23"/>
  <c r="E33" i="23"/>
  <c r="C33" i="23"/>
  <c r="B33" i="23"/>
  <c r="E32" i="23"/>
  <c r="C32" i="23"/>
  <c r="B32" i="23"/>
  <c r="E31" i="23"/>
  <c r="C31" i="23"/>
  <c r="B31" i="23"/>
  <c r="E30" i="23"/>
  <c r="C30" i="23"/>
  <c r="B30" i="23"/>
  <c r="E29" i="23"/>
  <c r="C29" i="23"/>
  <c r="B29" i="23"/>
  <c r="E28" i="23"/>
  <c r="C28" i="23"/>
  <c r="B28" i="23"/>
  <c r="E27" i="23"/>
  <c r="C27" i="23"/>
  <c r="B27" i="23"/>
  <c r="D17" i="23"/>
  <c r="D16" i="23"/>
  <c r="E23" i="23"/>
  <c r="B23" i="23"/>
  <c r="D19" i="23"/>
  <c r="D9" i="23"/>
  <c r="D10" i="23"/>
  <c r="D12" i="23"/>
  <c r="AM254" i="22"/>
  <c r="AL254" i="22"/>
  <c r="AK254" i="22"/>
  <c r="AJ254" i="22"/>
  <c r="AI254" i="22"/>
  <c r="AH254" i="22"/>
  <c r="AG254" i="22"/>
  <c r="AF254" i="22"/>
  <c r="AE254" i="22"/>
  <c r="AD254" i="22"/>
  <c r="AC254" i="22"/>
  <c r="AB254" i="22"/>
  <c r="AA254" i="22"/>
  <c r="Z254" i="22"/>
  <c r="Y254" i="22"/>
  <c r="X254" i="22"/>
  <c r="W254" i="22"/>
  <c r="V254" i="22"/>
  <c r="U254" i="22"/>
  <c r="T254" i="22"/>
  <c r="S254" i="22"/>
  <c r="R254" i="22"/>
  <c r="Q254" i="22"/>
  <c r="P254" i="22"/>
  <c r="O254" i="22"/>
  <c r="N254" i="22"/>
  <c r="M254" i="22"/>
  <c r="L254" i="22"/>
  <c r="K254" i="22"/>
  <c r="J254" i="22"/>
  <c r="I254" i="22"/>
  <c r="C73" i="22"/>
  <c r="C85" i="22"/>
  <c r="C97" i="22"/>
  <c r="C109" i="22"/>
  <c r="C121" i="22"/>
  <c r="C133" i="22"/>
  <c r="C145" i="22"/>
  <c r="C157" i="22"/>
  <c r="C169" i="22"/>
  <c r="C181" i="22"/>
  <c r="C193" i="22"/>
  <c r="C205" i="22"/>
  <c r="C217" i="22"/>
  <c r="C229" i="22"/>
  <c r="C241" i="22"/>
  <c r="C71" i="22"/>
  <c r="C254" i="22"/>
  <c r="D73" i="22"/>
  <c r="D85" i="22"/>
  <c r="D97" i="22"/>
  <c r="D109" i="22"/>
  <c r="D121" i="22"/>
  <c r="D133" i="22"/>
  <c r="D145" i="22"/>
  <c r="D157" i="22"/>
  <c r="D169" i="22"/>
  <c r="D181" i="22"/>
  <c r="D193" i="22"/>
  <c r="D205" i="22"/>
  <c r="D217" i="22"/>
  <c r="D229" i="22"/>
  <c r="D241" i="22"/>
  <c r="D71" i="22"/>
  <c r="D254" i="22"/>
  <c r="E254" i="22"/>
  <c r="F251" i="22"/>
  <c r="E251" i="22"/>
  <c r="B251" i="22"/>
  <c r="F250" i="22"/>
  <c r="E250" i="22"/>
  <c r="B250" i="22"/>
  <c r="F249" i="22"/>
  <c r="E249" i="22"/>
  <c r="B249" i="22"/>
  <c r="F248" i="22"/>
  <c r="E248" i="22"/>
  <c r="B248" i="22"/>
  <c r="F247" i="22"/>
  <c r="E247" i="22"/>
  <c r="B247" i="22"/>
  <c r="F246" i="22"/>
  <c r="E246" i="22"/>
  <c r="B246" i="22"/>
  <c r="F245" i="22"/>
  <c r="E245" i="22"/>
  <c r="B245" i="22"/>
  <c r="F244" i="22"/>
  <c r="E244" i="22"/>
  <c r="B244" i="22"/>
  <c r="F243" i="22"/>
  <c r="E243" i="22"/>
  <c r="B243" i="22"/>
  <c r="F242" i="22"/>
  <c r="E242" i="22"/>
  <c r="B242" i="22"/>
  <c r="F241" i="22"/>
  <c r="E241" i="22"/>
  <c r="B241" i="22"/>
  <c r="F239" i="22"/>
  <c r="E239" i="22"/>
  <c r="B239" i="22"/>
  <c r="F238" i="22"/>
  <c r="E238" i="22"/>
  <c r="B238" i="22"/>
  <c r="F237" i="22"/>
  <c r="E237" i="22"/>
  <c r="B237" i="22"/>
  <c r="F236" i="22"/>
  <c r="E236" i="22"/>
  <c r="B236" i="22"/>
  <c r="F235" i="22"/>
  <c r="E235" i="22"/>
  <c r="B235" i="22"/>
  <c r="F234" i="22"/>
  <c r="E234" i="22"/>
  <c r="B234" i="22"/>
  <c r="F233" i="22"/>
  <c r="E233" i="22"/>
  <c r="B233" i="22"/>
  <c r="F232" i="22"/>
  <c r="E232" i="22"/>
  <c r="B232" i="22"/>
  <c r="F231" i="22"/>
  <c r="E231" i="22"/>
  <c r="B231" i="22"/>
  <c r="F230" i="22"/>
  <c r="E230" i="22"/>
  <c r="B230" i="22"/>
  <c r="F229" i="22"/>
  <c r="E229" i="22"/>
  <c r="B229" i="22"/>
  <c r="F227" i="22"/>
  <c r="E227" i="22"/>
  <c r="B227" i="22"/>
  <c r="F226" i="22"/>
  <c r="E226" i="22"/>
  <c r="B226" i="22"/>
  <c r="F225" i="22"/>
  <c r="E225" i="22"/>
  <c r="B225" i="22"/>
  <c r="F224" i="22"/>
  <c r="E224" i="22"/>
  <c r="B224" i="22"/>
  <c r="F223" i="22"/>
  <c r="E223" i="22"/>
  <c r="B223" i="22"/>
  <c r="F222" i="22"/>
  <c r="E222" i="22"/>
  <c r="B222" i="22"/>
  <c r="F221" i="22"/>
  <c r="E221" i="22"/>
  <c r="B221" i="22"/>
  <c r="F220" i="22"/>
  <c r="E220" i="22"/>
  <c r="B220" i="22"/>
  <c r="F219" i="22"/>
  <c r="E219" i="22"/>
  <c r="B219" i="22"/>
  <c r="F218" i="22"/>
  <c r="E218" i="22"/>
  <c r="B218" i="22"/>
  <c r="F217" i="22"/>
  <c r="E217" i="22"/>
  <c r="B217" i="22"/>
  <c r="F215" i="22"/>
  <c r="E215" i="22"/>
  <c r="B215" i="22"/>
  <c r="F214" i="22"/>
  <c r="E214" i="22"/>
  <c r="B214" i="22"/>
  <c r="F213" i="22"/>
  <c r="E213" i="22"/>
  <c r="B213" i="22"/>
  <c r="F212" i="22"/>
  <c r="E212" i="22"/>
  <c r="B212" i="22"/>
  <c r="F211" i="22"/>
  <c r="E211" i="22"/>
  <c r="B211" i="22"/>
  <c r="F210" i="22"/>
  <c r="E210" i="22"/>
  <c r="B210" i="22"/>
  <c r="F209" i="22"/>
  <c r="E209" i="22"/>
  <c r="B209" i="22"/>
  <c r="F208" i="22"/>
  <c r="E208" i="22"/>
  <c r="B208" i="22"/>
  <c r="F207" i="22"/>
  <c r="E207" i="22"/>
  <c r="B207" i="22"/>
  <c r="F206" i="22"/>
  <c r="E206" i="22"/>
  <c r="B206" i="22"/>
  <c r="F205" i="22"/>
  <c r="E205" i="22"/>
  <c r="B205" i="22"/>
  <c r="F203" i="22"/>
  <c r="E203" i="22"/>
  <c r="B203" i="22"/>
  <c r="F202" i="22"/>
  <c r="E202" i="22"/>
  <c r="B202" i="22"/>
  <c r="F201" i="22"/>
  <c r="E201" i="22"/>
  <c r="B201" i="22"/>
  <c r="F200" i="22"/>
  <c r="E200" i="22"/>
  <c r="B200" i="22"/>
  <c r="F199" i="22"/>
  <c r="E199" i="22"/>
  <c r="B199" i="22"/>
  <c r="F198" i="22"/>
  <c r="E198" i="22"/>
  <c r="B198" i="22"/>
  <c r="F197" i="22"/>
  <c r="E197" i="22"/>
  <c r="B197" i="22"/>
  <c r="F196" i="22"/>
  <c r="E196" i="22"/>
  <c r="B196" i="22"/>
  <c r="F195" i="22"/>
  <c r="E195" i="22"/>
  <c r="B195" i="22"/>
  <c r="F194" i="22"/>
  <c r="E194" i="22"/>
  <c r="B194" i="22"/>
  <c r="F193" i="22"/>
  <c r="E193" i="22"/>
  <c r="B193" i="22"/>
  <c r="F191" i="22"/>
  <c r="E191" i="22"/>
  <c r="B191" i="22"/>
  <c r="F190" i="22"/>
  <c r="E190" i="22"/>
  <c r="B190" i="22"/>
  <c r="F189" i="22"/>
  <c r="E189" i="22"/>
  <c r="B189" i="22"/>
  <c r="F188" i="22"/>
  <c r="E188" i="22"/>
  <c r="B188" i="22"/>
  <c r="F187" i="22"/>
  <c r="E187" i="22"/>
  <c r="B187" i="22"/>
  <c r="F186" i="22"/>
  <c r="E186" i="22"/>
  <c r="B186" i="22"/>
  <c r="F185" i="22"/>
  <c r="E185" i="22"/>
  <c r="B185" i="22"/>
  <c r="F184" i="22"/>
  <c r="E184" i="22"/>
  <c r="B184" i="22"/>
  <c r="F183" i="22"/>
  <c r="E183" i="22"/>
  <c r="B183" i="22"/>
  <c r="F182" i="22"/>
  <c r="E182" i="22"/>
  <c r="B182" i="22"/>
  <c r="F181" i="22"/>
  <c r="E181" i="22"/>
  <c r="B181" i="22"/>
  <c r="F179" i="22"/>
  <c r="E179" i="22"/>
  <c r="B179" i="22"/>
  <c r="F178" i="22"/>
  <c r="E178" i="22"/>
  <c r="B178" i="22"/>
  <c r="F177" i="22"/>
  <c r="E177" i="22"/>
  <c r="B177" i="22"/>
  <c r="F176" i="22"/>
  <c r="E176" i="22"/>
  <c r="B176" i="22"/>
  <c r="F175" i="22"/>
  <c r="E175" i="22"/>
  <c r="B175" i="22"/>
  <c r="F174" i="22"/>
  <c r="E174" i="22"/>
  <c r="B174" i="22"/>
  <c r="F173" i="22"/>
  <c r="E173" i="22"/>
  <c r="B173" i="22"/>
  <c r="F172" i="22"/>
  <c r="E172" i="22"/>
  <c r="B172" i="22"/>
  <c r="F171" i="22"/>
  <c r="E171" i="22"/>
  <c r="B171" i="22"/>
  <c r="F170" i="22"/>
  <c r="E170" i="22"/>
  <c r="B170" i="22"/>
  <c r="F169" i="22"/>
  <c r="E169" i="22"/>
  <c r="B169" i="22"/>
  <c r="F167" i="22"/>
  <c r="E167" i="22"/>
  <c r="B167" i="22"/>
  <c r="F166" i="22"/>
  <c r="E166" i="22"/>
  <c r="B166" i="22"/>
  <c r="F165" i="22"/>
  <c r="E165" i="22"/>
  <c r="B165" i="22"/>
  <c r="F164" i="22"/>
  <c r="E164" i="22"/>
  <c r="B164" i="22"/>
  <c r="F163" i="22"/>
  <c r="E163" i="22"/>
  <c r="B163" i="22"/>
  <c r="F162" i="22"/>
  <c r="E162" i="22"/>
  <c r="B162" i="22"/>
  <c r="F161" i="22"/>
  <c r="E161" i="22"/>
  <c r="B161" i="22"/>
  <c r="F160" i="22"/>
  <c r="E160" i="22"/>
  <c r="B160" i="22"/>
  <c r="F159" i="22"/>
  <c r="E159" i="22"/>
  <c r="B159" i="22"/>
  <c r="F158" i="22"/>
  <c r="E158" i="22"/>
  <c r="B158" i="22"/>
  <c r="F157" i="22"/>
  <c r="E157" i="22"/>
  <c r="B157" i="22"/>
  <c r="F155" i="22"/>
  <c r="E155" i="22"/>
  <c r="B155" i="22"/>
  <c r="F154" i="22"/>
  <c r="E154" i="22"/>
  <c r="B154" i="22"/>
  <c r="F153" i="22"/>
  <c r="E153" i="22"/>
  <c r="B153" i="22"/>
  <c r="F152" i="22"/>
  <c r="E152" i="22"/>
  <c r="B152" i="22"/>
  <c r="F151" i="22"/>
  <c r="E151" i="22"/>
  <c r="B151" i="22"/>
  <c r="F150" i="22"/>
  <c r="E150" i="22"/>
  <c r="B150" i="22"/>
  <c r="F149" i="22"/>
  <c r="E149" i="22"/>
  <c r="B149" i="22"/>
  <c r="F148" i="22"/>
  <c r="E148" i="22"/>
  <c r="B148" i="22"/>
  <c r="F147" i="22"/>
  <c r="E147" i="22"/>
  <c r="B147" i="22"/>
  <c r="F146" i="22"/>
  <c r="E146" i="22"/>
  <c r="B146" i="22"/>
  <c r="F145" i="22"/>
  <c r="E145" i="22"/>
  <c r="B145" i="22"/>
  <c r="F143" i="22"/>
  <c r="E143" i="22"/>
  <c r="B143" i="22"/>
  <c r="F142" i="22"/>
  <c r="E142" i="22"/>
  <c r="B142" i="22"/>
  <c r="F141" i="22"/>
  <c r="E141" i="22"/>
  <c r="B141" i="22"/>
  <c r="F140" i="22"/>
  <c r="E140" i="22"/>
  <c r="B140" i="22"/>
  <c r="F139" i="22"/>
  <c r="E139" i="22"/>
  <c r="B139" i="22"/>
  <c r="F138" i="22"/>
  <c r="E138" i="22"/>
  <c r="B138" i="22"/>
  <c r="F137" i="22"/>
  <c r="E137" i="22"/>
  <c r="B137" i="22"/>
  <c r="F136" i="22"/>
  <c r="E136" i="22"/>
  <c r="B136" i="22"/>
  <c r="F135" i="22"/>
  <c r="E135" i="22"/>
  <c r="B135" i="22"/>
  <c r="F134" i="22"/>
  <c r="E134" i="22"/>
  <c r="B134" i="22"/>
  <c r="F133" i="22"/>
  <c r="E133" i="22"/>
  <c r="B133" i="22"/>
  <c r="F131" i="22"/>
  <c r="E131" i="22"/>
  <c r="B131" i="22"/>
  <c r="F130" i="22"/>
  <c r="E130" i="22"/>
  <c r="B130" i="22"/>
  <c r="F129" i="22"/>
  <c r="E129" i="22"/>
  <c r="B129" i="22"/>
  <c r="F128" i="22"/>
  <c r="E128" i="22"/>
  <c r="B128" i="22"/>
  <c r="F127" i="22"/>
  <c r="E127" i="22"/>
  <c r="B127" i="22"/>
  <c r="F126" i="22"/>
  <c r="E126" i="22"/>
  <c r="B126" i="22"/>
  <c r="F125" i="22"/>
  <c r="E125" i="22"/>
  <c r="B125" i="22"/>
  <c r="F124" i="22"/>
  <c r="E124" i="22"/>
  <c r="B124" i="22"/>
  <c r="F123" i="22"/>
  <c r="E123" i="22"/>
  <c r="B123" i="22"/>
  <c r="F122" i="22"/>
  <c r="E122" i="22"/>
  <c r="B122" i="22"/>
  <c r="F121" i="22"/>
  <c r="E121" i="22"/>
  <c r="B121" i="22"/>
  <c r="F119" i="22"/>
  <c r="E119" i="22"/>
  <c r="B119" i="22"/>
  <c r="F118" i="22"/>
  <c r="E118" i="22"/>
  <c r="B118" i="22"/>
  <c r="F117" i="22"/>
  <c r="E117" i="22"/>
  <c r="B117" i="22"/>
  <c r="F116" i="22"/>
  <c r="E116" i="22"/>
  <c r="B116" i="22"/>
  <c r="F115" i="22"/>
  <c r="E115" i="22"/>
  <c r="B115" i="22"/>
  <c r="F114" i="22"/>
  <c r="E114" i="22"/>
  <c r="B114" i="22"/>
  <c r="F113" i="22"/>
  <c r="E113" i="22"/>
  <c r="B113" i="22"/>
  <c r="F112" i="22"/>
  <c r="E112" i="22"/>
  <c r="B112" i="22"/>
  <c r="F111" i="22"/>
  <c r="E111" i="22"/>
  <c r="B111" i="22"/>
  <c r="F110" i="22"/>
  <c r="E110" i="22"/>
  <c r="B110" i="22"/>
  <c r="F109" i="22"/>
  <c r="E109" i="22"/>
  <c r="B109" i="22"/>
  <c r="F107" i="22"/>
  <c r="E107" i="22"/>
  <c r="B107" i="22"/>
  <c r="F106" i="22"/>
  <c r="E106" i="22"/>
  <c r="B106" i="22"/>
  <c r="F105" i="22"/>
  <c r="E105" i="22"/>
  <c r="B105" i="22"/>
  <c r="F104" i="22"/>
  <c r="E104" i="22"/>
  <c r="B104" i="22"/>
  <c r="F103" i="22"/>
  <c r="E103" i="22"/>
  <c r="B103" i="22"/>
  <c r="F102" i="22"/>
  <c r="E102" i="22"/>
  <c r="B102" i="22"/>
  <c r="F101" i="22"/>
  <c r="E101" i="22"/>
  <c r="B101" i="22"/>
  <c r="F100" i="22"/>
  <c r="E100" i="22"/>
  <c r="B100" i="22"/>
  <c r="F99" i="22"/>
  <c r="E99" i="22"/>
  <c r="B99" i="22"/>
  <c r="F98" i="22"/>
  <c r="E98" i="22"/>
  <c r="B98" i="22"/>
  <c r="F97" i="22"/>
  <c r="E97" i="22"/>
  <c r="B97" i="22"/>
  <c r="F95" i="22"/>
  <c r="E95" i="22"/>
  <c r="B95" i="22"/>
  <c r="F94" i="22"/>
  <c r="E94" i="22"/>
  <c r="B94" i="22"/>
  <c r="F93" i="22"/>
  <c r="E93" i="22"/>
  <c r="B93" i="22"/>
  <c r="F92" i="22"/>
  <c r="E92" i="22"/>
  <c r="B92" i="22"/>
  <c r="F91" i="22"/>
  <c r="E91" i="22"/>
  <c r="B91" i="22"/>
  <c r="F90" i="22"/>
  <c r="E90" i="22"/>
  <c r="B90" i="22"/>
  <c r="F89" i="22"/>
  <c r="E89" i="22"/>
  <c r="B89" i="22"/>
  <c r="F88" i="22"/>
  <c r="E88" i="22"/>
  <c r="B88" i="22"/>
  <c r="F87" i="22"/>
  <c r="E87" i="22"/>
  <c r="B87" i="22"/>
  <c r="F86" i="22"/>
  <c r="E86" i="22"/>
  <c r="B86" i="22"/>
  <c r="F85" i="22"/>
  <c r="E85" i="22"/>
  <c r="B85" i="22"/>
  <c r="F83" i="22"/>
  <c r="E83" i="22"/>
  <c r="B83" i="22"/>
  <c r="F82" i="22"/>
  <c r="E82" i="22"/>
  <c r="B82" i="22"/>
  <c r="F81" i="22"/>
  <c r="E81" i="22"/>
  <c r="B81" i="22"/>
  <c r="F80" i="22"/>
  <c r="E80" i="22"/>
  <c r="B80" i="22"/>
  <c r="F79" i="22"/>
  <c r="E79" i="22"/>
  <c r="B79" i="22"/>
  <c r="F78" i="22"/>
  <c r="E78" i="22"/>
  <c r="B78" i="22"/>
  <c r="F77" i="22"/>
  <c r="E77" i="22"/>
  <c r="B77" i="22"/>
  <c r="F76" i="22"/>
  <c r="E76" i="22"/>
  <c r="B76" i="22"/>
  <c r="F75" i="22"/>
  <c r="E75" i="22"/>
  <c r="B75" i="22"/>
  <c r="F74" i="22"/>
  <c r="E74" i="22"/>
  <c r="B74" i="22"/>
  <c r="F73" i="22"/>
  <c r="E73" i="22"/>
  <c r="B73" i="22"/>
  <c r="AM71" i="22"/>
  <c r="AL71" i="22"/>
  <c r="AK71" i="22"/>
  <c r="AJ71" i="22"/>
  <c r="AI71" i="22"/>
  <c r="AH71" i="22"/>
  <c r="AG71" i="22"/>
  <c r="AF71" i="22"/>
  <c r="AE71" i="22"/>
  <c r="AD71" i="22"/>
  <c r="AC71" i="22"/>
  <c r="AB71" i="22"/>
  <c r="AA71" i="22"/>
  <c r="Z71" i="22"/>
  <c r="Y71" i="22"/>
  <c r="X71" i="22"/>
  <c r="W71" i="22"/>
  <c r="V71" i="22"/>
  <c r="U71" i="22"/>
  <c r="T71" i="22"/>
  <c r="S71" i="22"/>
  <c r="R71" i="22"/>
  <c r="Q71" i="22"/>
  <c r="P71" i="22"/>
  <c r="O71" i="22"/>
  <c r="N71" i="22"/>
  <c r="M71" i="22"/>
  <c r="L71" i="22"/>
  <c r="K71" i="22"/>
  <c r="J71" i="22"/>
  <c r="I71" i="22"/>
  <c r="E71" i="22"/>
  <c r="F66" i="22"/>
  <c r="E66" i="22"/>
  <c r="B66" i="22"/>
  <c r="F65" i="22"/>
  <c r="E65" i="22"/>
  <c r="B65" i="22"/>
  <c r="F64" i="22"/>
  <c r="E64" i="22"/>
  <c r="B64" i="22"/>
  <c r="F63" i="22"/>
  <c r="E63" i="22"/>
  <c r="B63" i="22"/>
  <c r="F62" i="22"/>
  <c r="E62" i="22"/>
  <c r="B62" i="22"/>
  <c r="F61" i="22"/>
  <c r="E61" i="22"/>
  <c r="B61" i="22"/>
  <c r="F60" i="22"/>
  <c r="E60" i="22"/>
  <c r="B60" i="22"/>
  <c r="F59" i="22"/>
  <c r="E59" i="22"/>
  <c r="B59" i="22"/>
  <c r="F58" i="22"/>
  <c r="E58" i="22"/>
  <c r="B58" i="22"/>
  <c r="F57" i="22"/>
  <c r="E57" i="22"/>
  <c r="B57" i="22"/>
  <c r="F56" i="22"/>
  <c r="E56" i="22"/>
  <c r="B56" i="22"/>
  <c r="F55" i="22"/>
  <c r="E55" i="22"/>
  <c r="B55" i="22"/>
  <c r="F54" i="22"/>
  <c r="E54" i="22"/>
  <c r="B54" i="22"/>
  <c r="F53" i="22"/>
  <c r="E53" i="22"/>
  <c r="B53" i="22"/>
  <c r="F52" i="22"/>
  <c r="E52" i="22"/>
  <c r="B52" i="22"/>
  <c r="D51" i="22"/>
  <c r="C51" i="22"/>
  <c r="F51" i="22"/>
  <c r="E51" i="22"/>
  <c r="B51" i="22"/>
  <c r="AM49" i="22"/>
  <c r="AL49" i="22"/>
  <c r="AK49" i="22"/>
  <c r="AJ49" i="22"/>
  <c r="AI49" i="22"/>
  <c r="AH49" i="22"/>
  <c r="AG49" i="22"/>
  <c r="AF49" i="22"/>
  <c r="AE49" i="22"/>
  <c r="AD49" i="22"/>
  <c r="AC49" i="22"/>
  <c r="AB49" i="22"/>
  <c r="AA49" i="22"/>
  <c r="Z49" i="22"/>
  <c r="Y49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D49" i="22"/>
  <c r="C49" i="22"/>
  <c r="E49" i="22"/>
  <c r="E41" i="22"/>
  <c r="C41" i="22"/>
  <c r="B41" i="22"/>
  <c r="E40" i="22"/>
  <c r="C40" i="22"/>
  <c r="B40" i="22"/>
  <c r="E39" i="22"/>
  <c r="C39" i="22"/>
  <c r="B39" i="22"/>
  <c r="E38" i="22"/>
  <c r="C38" i="22"/>
  <c r="B38" i="22"/>
  <c r="E37" i="22"/>
  <c r="C37" i="22"/>
  <c r="B37" i="22"/>
  <c r="E36" i="22"/>
  <c r="C36" i="22"/>
  <c r="B36" i="22"/>
  <c r="E35" i="22"/>
  <c r="C35" i="22"/>
  <c r="B35" i="22"/>
  <c r="E34" i="22"/>
  <c r="C34" i="22"/>
  <c r="B34" i="22"/>
  <c r="E33" i="22"/>
  <c r="C33" i="22"/>
  <c r="B33" i="22"/>
  <c r="E32" i="22"/>
  <c r="C32" i="22"/>
  <c r="B32" i="22"/>
  <c r="E31" i="22"/>
  <c r="C31" i="22"/>
  <c r="B31" i="22"/>
  <c r="E30" i="22"/>
  <c r="C30" i="22"/>
  <c r="B30" i="22"/>
  <c r="E29" i="22"/>
  <c r="C29" i="22"/>
  <c r="B29" i="22"/>
  <c r="E28" i="22"/>
  <c r="C28" i="22"/>
  <c r="B28" i="22"/>
  <c r="E27" i="22"/>
  <c r="C27" i="22"/>
  <c r="B27" i="22"/>
  <c r="D17" i="22"/>
  <c r="D16" i="22"/>
  <c r="E23" i="22"/>
  <c r="B23" i="22"/>
  <c r="D19" i="22"/>
  <c r="D9" i="22"/>
  <c r="D10" i="22"/>
  <c r="D12" i="22"/>
  <c r="C241" i="4"/>
  <c r="C229" i="4"/>
  <c r="C217" i="4"/>
  <c r="D241" i="4"/>
  <c r="E41" i="4"/>
  <c r="D229" i="4"/>
  <c r="E40" i="4"/>
  <c r="D217" i="4"/>
  <c r="E3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AM254" i="4"/>
  <c r="AL254" i="4"/>
  <c r="AK254" i="4"/>
  <c r="AJ254" i="4"/>
  <c r="AI254" i="4"/>
  <c r="AH254" i="4"/>
  <c r="AG254" i="4"/>
  <c r="AF254" i="4"/>
  <c r="AE254" i="4"/>
  <c r="AD254" i="4"/>
  <c r="AC254" i="4"/>
  <c r="AB254" i="4"/>
  <c r="AA254" i="4"/>
  <c r="Z254" i="4"/>
  <c r="Y254" i="4"/>
  <c r="X254" i="4"/>
  <c r="W254" i="4"/>
  <c r="V254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B241" i="4"/>
  <c r="B41" i="4"/>
  <c r="B229" i="4"/>
  <c r="B40" i="4"/>
  <c r="B217" i="4"/>
  <c r="B39" i="4"/>
  <c r="C41" i="4"/>
  <c r="C40" i="4"/>
  <c r="C39" i="4"/>
  <c r="D73" i="4"/>
  <c r="D85" i="4"/>
  <c r="D97" i="4"/>
  <c r="D109" i="4"/>
  <c r="D121" i="4"/>
  <c r="D133" i="4"/>
  <c r="D145" i="4"/>
  <c r="D157" i="4"/>
  <c r="D169" i="4"/>
  <c r="D181" i="4"/>
  <c r="D193" i="4"/>
  <c r="D205" i="4"/>
  <c r="D71" i="4"/>
  <c r="C85" i="4"/>
  <c r="C73" i="4"/>
  <c r="C205" i="4"/>
  <c r="C97" i="4"/>
  <c r="C109" i="4"/>
  <c r="C121" i="4"/>
  <c r="C133" i="4"/>
  <c r="C145" i="4"/>
  <c r="C157" i="4"/>
  <c r="C169" i="4"/>
  <c r="C181" i="4"/>
  <c r="C193" i="4"/>
  <c r="C71" i="4"/>
  <c r="E71" i="4"/>
  <c r="F251" i="4"/>
  <c r="E251" i="4"/>
  <c r="B251" i="4"/>
  <c r="F250" i="4"/>
  <c r="E250" i="4"/>
  <c r="B250" i="4"/>
  <c r="F249" i="4"/>
  <c r="E249" i="4"/>
  <c r="B249" i="4"/>
  <c r="F248" i="4"/>
  <c r="E248" i="4"/>
  <c r="B248" i="4"/>
  <c r="F247" i="4"/>
  <c r="E247" i="4"/>
  <c r="B247" i="4"/>
  <c r="F246" i="4"/>
  <c r="E246" i="4"/>
  <c r="B246" i="4"/>
  <c r="F245" i="4"/>
  <c r="E245" i="4"/>
  <c r="B245" i="4"/>
  <c r="F244" i="4"/>
  <c r="E244" i="4"/>
  <c r="B244" i="4"/>
  <c r="F243" i="4"/>
  <c r="E243" i="4"/>
  <c r="B243" i="4"/>
  <c r="F242" i="4"/>
  <c r="E242" i="4"/>
  <c r="B242" i="4"/>
  <c r="F241" i="4"/>
  <c r="E241" i="4"/>
  <c r="F239" i="4"/>
  <c r="E239" i="4"/>
  <c r="B239" i="4"/>
  <c r="F238" i="4"/>
  <c r="E238" i="4"/>
  <c r="B238" i="4"/>
  <c r="F237" i="4"/>
  <c r="E237" i="4"/>
  <c r="B237" i="4"/>
  <c r="F236" i="4"/>
  <c r="E236" i="4"/>
  <c r="B236" i="4"/>
  <c r="F235" i="4"/>
  <c r="E235" i="4"/>
  <c r="B235" i="4"/>
  <c r="F234" i="4"/>
  <c r="E234" i="4"/>
  <c r="B234" i="4"/>
  <c r="F233" i="4"/>
  <c r="E233" i="4"/>
  <c r="B233" i="4"/>
  <c r="F232" i="4"/>
  <c r="E232" i="4"/>
  <c r="B232" i="4"/>
  <c r="F231" i="4"/>
  <c r="E231" i="4"/>
  <c r="B231" i="4"/>
  <c r="F230" i="4"/>
  <c r="E230" i="4"/>
  <c r="B230" i="4"/>
  <c r="F229" i="4"/>
  <c r="E229" i="4"/>
  <c r="F227" i="4"/>
  <c r="E227" i="4"/>
  <c r="B227" i="4"/>
  <c r="F226" i="4"/>
  <c r="E226" i="4"/>
  <c r="B226" i="4"/>
  <c r="F225" i="4"/>
  <c r="E225" i="4"/>
  <c r="B225" i="4"/>
  <c r="F224" i="4"/>
  <c r="E224" i="4"/>
  <c r="B224" i="4"/>
  <c r="F223" i="4"/>
  <c r="E223" i="4"/>
  <c r="B223" i="4"/>
  <c r="F222" i="4"/>
  <c r="E222" i="4"/>
  <c r="B222" i="4"/>
  <c r="F221" i="4"/>
  <c r="E221" i="4"/>
  <c r="B221" i="4"/>
  <c r="F220" i="4"/>
  <c r="E220" i="4"/>
  <c r="B220" i="4"/>
  <c r="F219" i="4"/>
  <c r="E219" i="4"/>
  <c r="B219" i="4"/>
  <c r="F218" i="4"/>
  <c r="E218" i="4"/>
  <c r="B218" i="4"/>
  <c r="F217" i="4"/>
  <c r="E217" i="4"/>
  <c r="E215" i="4"/>
  <c r="E214" i="4"/>
  <c r="B214" i="4"/>
  <c r="B215" i="4"/>
  <c r="F214" i="4"/>
  <c r="F215" i="4"/>
  <c r="E203" i="4"/>
  <c r="E202" i="4"/>
  <c r="E201" i="4"/>
  <c r="E200" i="4"/>
  <c r="E191" i="4"/>
  <c r="E190" i="4"/>
  <c r="B200" i="4"/>
  <c r="B201" i="4"/>
  <c r="B202" i="4"/>
  <c r="B203" i="4"/>
  <c r="F200" i="4"/>
  <c r="F201" i="4"/>
  <c r="F202" i="4"/>
  <c r="F203" i="4"/>
  <c r="B190" i="4"/>
  <c r="B191" i="4"/>
  <c r="F190" i="4"/>
  <c r="F191" i="4"/>
  <c r="E179" i="4"/>
  <c r="E178" i="4"/>
  <c r="B178" i="4"/>
  <c r="B179" i="4"/>
  <c r="F178" i="4"/>
  <c r="F179" i="4"/>
  <c r="E167" i="4"/>
  <c r="E166" i="4"/>
  <c r="E165" i="4"/>
  <c r="E164" i="4"/>
  <c r="B164" i="4"/>
  <c r="B165" i="4"/>
  <c r="B166" i="4"/>
  <c r="B167" i="4"/>
  <c r="F164" i="4"/>
  <c r="F165" i="4"/>
  <c r="F166" i="4"/>
  <c r="F167" i="4"/>
  <c r="E155" i="4"/>
  <c r="E154" i="4"/>
  <c r="E153" i="4"/>
  <c r="E152" i="4"/>
  <c r="E151" i="4"/>
  <c r="B151" i="4"/>
  <c r="B152" i="4"/>
  <c r="B153" i="4"/>
  <c r="B154" i="4"/>
  <c r="B155" i="4"/>
  <c r="F151" i="4"/>
  <c r="F152" i="4"/>
  <c r="F153" i="4"/>
  <c r="F154" i="4"/>
  <c r="F155" i="4"/>
  <c r="E143" i="4"/>
  <c r="E142" i="4"/>
  <c r="E141" i="4"/>
  <c r="E140" i="4"/>
  <c r="E139" i="4"/>
  <c r="B139" i="4"/>
  <c r="B140" i="4"/>
  <c r="B141" i="4"/>
  <c r="B142" i="4"/>
  <c r="B143" i="4"/>
  <c r="F139" i="4"/>
  <c r="F140" i="4"/>
  <c r="F141" i="4"/>
  <c r="F142" i="4"/>
  <c r="F143" i="4"/>
  <c r="E131" i="4"/>
  <c r="E130" i="4"/>
  <c r="E129" i="4"/>
  <c r="E128" i="4"/>
  <c r="E127" i="4"/>
  <c r="E126" i="4"/>
  <c r="B126" i="4"/>
  <c r="B127" i="4"/>
  <c r="B128" i="4"/>
  <c r="B129" i="4"/>
  <c r="B130" i="4"/>
  <c r="B131" i="4"/>
  <c r="F126" i="4"/>
  <c r="F127" i="4"/>
  <c r="F128" i="4"/>
  <c r="F129" i="4"/>
  <c r="F130" i="4"/>
  <c r="F131" i="4"/>
  <c r="E119" i="4"/>
  <c r="E118" i="4"/>
  <c r="E117" i="4"/>
  <c r="E116" i="4"/>
  <c r="E115" i="4"/>
  <c r="B115" i="4"/>
  <c r="B116" i="4"/>
  <c r="B117" i="4"/>
  <c r="B118" i="4"/>
  <c r="B119" i="4"/>
  <c r="F115" i="4"/>
  <c r="F116" i="4"/>
  <c r="F117" i="4"/>
  <c r="F118" i="4"/>
  <c r="F119" i="4"/>
  <c r="E107" i="4"/>
  <c r="E106" i="4"/>
  <c r="B106" i="4"/>
  <c r="B107" i="4"/>
  <c r="F106" i="4"/>
  <c r="F107" i="4"/>
  <c r="B79" i="4"/>
  <c r="B80" i="4"/>
  <c r="B81" i="4"/>
  <c r="B82" i="4"/>
  <c r="B83" i="4"/>
  <c r="E79" i="4"/>
  <c r="E80" i="4"/>
  <c r="E81" i="4"/>
  <c r="E82" i="4"/>
  <c r="E83" i="4"/>
  <c r="F79" i="4"/>
  <c r="F80" i="4"/>
  <c r="F81" i="4"/>
  <c r="F82" i="4"/>
  <c r="F83" i="4"/>
  <c r="B64" i="4"/>
  <c r="B65" i="4"/>
  <c r="B66" i="4"/>
  <c r="E64" i="4"/>
  <c r="E65" i="4"/>
  <c r="E66" i="4"/>
  <c r="F64" i="4"/>
  <c r="F65" i="4"/>
  <c r="F66" i="4"/>
  <c r="B59" i="4"/>
  <c r="B60" i="4"/>
  <c r="B61" i="4"/>
  <c r="B62" i="4"/>
  <c r="B63" i="4"/>
  <c r="E59" i="4"/>
  <c r="E60" i="4"/>
  <c r="E61" i="4"/>
  <c r="E62" i="4"/>
  <c r="E63" i="4"/>
  <c r="F59" i="4"/>
  <c r="F60" i="4"/>
  <c r="F61" i="4"/>
  <c r="F62" i="4"/>
  <c r="F63" i="4"/>
  <c r="B58" i="4"/>
  <c r="E58" i="4"/>
  <c r="F58" i="4"/>
  <c r="F57" i="4"/>
  <c r="F56" i="4"/>
  <c r="F55" i="4"/>
  <c r="F54" i="4"/>
  <c r="F53" i="4"/>
  <c r="F52" i="4"/>
  <c r="D51" i="4"/>
  <c r="C51" i="4"/>
  <c r="F51" i="4"/>
  <c r="F49" i="1"/>
  <c r="F50" i="1"/>
  <c r="F51" i="1"/>
  <c r="F52" i="1"/>
  <c r="F53" i="1"/>
  <c r="F54" i="1"/>
  <c r="F55" i="1"/>
  <c r="D48" i="1"/>
  <c r="C48" i="1"/>
  <c r="F48" i="1"/>
  <c r="B213" i="4"/>
  <c r="B212" i="4"/>
  <c r="B211" i="4"/>
  <c r="B210" i="4"/>
  <c r="B209" i="4"/>
  <c r="B208" i="4"/>
  <c r="B207" i="4"/>
  <c r="B206" i="4"/>
  <c r="B205" i="4"/>
  <c r="B199" i="4"/>
  <c r="B198" i="4"/>
  <c r="B197" i="4"/>
  <c r="B196" i="4"/>
  <c r="B195" i="4"/>
  <c r="B194" i="4"/>
  <c r="B193" i="4"/>
  <c r="B189" i="4"/>
  <c r="B188" i="4"/>
  <c r="B187" i="4"/>
  <c r="B186" i="4"/>
  <c r="B185" i="4"/>
  <c r="B184" i="4"/>
  <c r="B183" i="4"/>
  <c r="B182" i="4"/>
  <c r="B181" i="4"/>
  <c r="B177" i="4"/>
  <c r="B176" i="4"/>
  <c r="B175" i="4"/>
  <c r="B174" i="4"/>
  <c r="B173" i="4"/>
  <c r="B172" i="4"/>
  <c r="B171" i="4"/>
  <c r="B170" i="4"/>
  <c r="B169" i="4"/>
  <c r="B163" i="4"/>
  <c r="B162" i="4"/>
  <c r="B161" i="4"/>
  <c r="B160" i="4"/>
  <c r="B159" i="4"/>
  <c r="B158" i="4"/>
  <c r="B157" i="4"/>
  <c r="B150" i="4"/>
  <c r="B149" i="4"/>
  <c r="B148" i="4"/>
  <c r="B147" i="4"/>
  <c r="B146" i="4"/>
  <c r="B145" i="4"/>
  <c r="B138" i="4"/>
  <c r="B137" i="4"/>
  <c r="B136" i="4"/>
  <c r="B135" i="4"/>
  <c r="B134" i="4"/>
  <c r="B133" i="4"/>
  <c r="B125" i="4"/>
  <c r="B124" i="4"/>
  <c r="B123" i="4"/>
  <c r="B122" i="4"/>
  <c r="B121" i="4"/>
  <c r="B114" i="4"/>
  <c r="B113" i="4"/>
  <c r="B112" i="4"/>
  <c r="B111" i="4"/>
  <c r="B110" i="4"/>
  <c r="B109" i="4"/>
  <c r="B105" i="4"/>
  <c r="B104" i="4"/>
  <c r="B103" i="4"/>
  <c r="B102" i="4"/>
  <c r="B101" i="4"/>
  <c r="B100" i="4"/>
  <c r="B99" i="4"/>
  <c r="B98" i="4"/>
  <c r="B97" i="4"/>
  <c r="B95" i="4"/>
  <c r="B94" i="4"/>
  <c r="B93" i="4"/>
  <c r="B92" i="4"/>
  <c r="B91" i="4"/>
  <c r="B90" i="4"/>
  <c r="B89" i="4"/>
  <c r="B88" i="4"/>
  <c r="B87" i="4"/>
  <c r="B86" i="4"/>
  <c r="B85" i="4"/>
  <c r="B78" i="4"/>
  <c r="B77" i="4"/>
  <c r="B76" i="4"/>
  <c r="B75" i="4"/>
  <c r="B74" i="4"/>
  <c r="B73" i="4"/>
  <c r="B57" i="4"/>
  <c r="B56" i="4"/>
  <c r="B55" i="4"/>
  <c r="B54" i="4"/>
  <c r="B53" i="4"/>
  <c r="B52" i="4"/>
  <c r="B51" i="4"/>
  <c r="D107" i="1"/>
  <c r="D105" i="1"/>
  <c r="D106" i="1"/>
  <c r="D108" i="1"/>
  <c r="D109" i="1"/>
  <c r="D104" i="1"/>
  <c r="D66" i="1"/>
  <c r="D63" i="1"/>
  <c r="D64" i="1"/>
  <c r="D65" i="1"/>
  <c r="D67" i="1"/>
  <c r="D62" i="1"/>
  <c r="D156" i="1"/>
  <c r="D160" i="1"/>
  <c r="D161" i="1"/>
  <c r="D155" i="1"/>
  <c r="D157" i="1"/>
  <c r="D158" i="1"/>
  <c r="D159" i="1"/>
  <c r="D162" i="1"/>
  <c r="D154" i="1"/>
  <c r="D70" i="1"/>
  <c r="D71" i="1"/>
  <c r="D72" i="1"/>
  <c r="D73" i="1"/>
  <c r="D74" i="1"/>
  <c r="D75" i="1"/>
  <c r="D76" i="1"/>
  <c r="D77" i="1"/>
  <c r="D78" i="1"/>
  <c r="D79" i="1"/>
  <c r="D69" i="1"/>
  <c r="D82" i="1"/>
  <c r="D83" i="1"/>
  <c r="D84" i="1"/>
  <c r="D85" i="1"/>
  <c r="D86" i="1"/>
  <c r="D87" i="1"/>
  <c r="D88" i="1"/>
  <c r="D89" i="1"/>
  <c r="D81" i="1"/>
  <c r="D92" i="1"/>
  <c r="D93" i="1"/>
  <c r="D94" i="1"/>
  <c r="D95" i="1"/>
  <c r="D96" i="1"/>
  <c r="D91" i="1"/>
  <c r="D99" i="1"/>
  <c r="D100" i="1"/>
  <c r="D101" i="1"/>
  <c r="D102" i="1"/>
  <c r="D98" i="1"/>
  <c r="D112" i="1"/>
  <c r="D113" i="1"/>
  <c r="D114" i="1"/>
  <c r="D115" i="1"/>
  <c r="D116" i="1"/>
  <c r="D111" i="1"/>
  <c r="D119" i="1"/>
  <c r="D120" i="1"/>
  <c r="D121" i="1"/>
  <c r="D122" i="1"/>
  <c r="D123" i="1"/>
  <c r="D124" i="1"/>
  <c r="D118" i="1"/>
  <c r="D127" i="1"/>
  <c r="D128" i="1"/>
  <c r="D129" i="1"/>
  <c r="D130" i="1"/>
  <c r="D131" i="1"/>
  <c r="D132" i="1"/>
  <c r="D133" i="1"/>
  <c r="D134" i="1"/>
  <c r="D126" i="1"/>
  <c r="D137" i="1"/>
  <c r="D138" i="1"/>
  <c r="D139" i="1"/>
  <c r="D140" i="1"/>
  <c r="D141" i="1"/>
  <c r="D142" i="1"/>
  <c r="D143" i="1"/>
  <c r="D144" i="1"/>
  <c r="D136" i="1"/>
  <c r="D147" i="1"/>
  <c r="D148" i="1"/>
  <c r="D149" i="1"/>
  <c r="D150" i="1"/>
  <c r="D151" i="1"/>
  <c r="D152" i="1"/>
  <c r="D146" i="1"/>
  <c r="D60" i="1"/>
  <c r="D17" i="1"/>
  <c r="D46" i="1"/>
  <c r="D16" i="1"/>
  <c r="E23" i="1"/>
  <c r="C154" i="1"/>
  <c r="E38" i="1"/>
  <c r="C146" i="1"/>
  <c r="E37" i="1"/>
  <c r="C136" i="1"/>
  <c r="E36" i="1"/>
  <c r="C126" i="1"/>
  <c r="E35" i="1"/>
  <c r="C118" i="1"/>
  <c r="E34" i="1"/>
  <c r="C111" i="1"/>
  <c r="E33" i="1"/>
  <c r="C104" i="1"/>
  <c r="E32" i="1"/>
  <c r="C98" i="1"/>
  <c r="E31" i="1"/>
  <c r="C91" i="1"/>
  <c r="E30" i="1"/>
  <c r="C81" i="1"/>
  <c r="E29" i="1"/>
  <c r="C69" i="1"/>
  <c r="E28" i="1"/>
  <c r="C62" i="1"/>
  <c r="E27" i="1"/>
  <c r="E38" i="4"/>
  <c r="E37" i="4"/>
  <c r="E36" i="4"/>
  <c r="E35" i="4"/>
  <c r="E34" i="4"/>
  <c r="E33" i="4"/>
  <c r="E32" i="4"/>
  <c r="E31" i="4"/>
  <c r="E30" i="4"/>
  <c r="E29" i="4"/>
  <c r="E28" i="4"/>
  <c r="E213" i="4"/>
  <c r="E212" i="4"/>
  <c r="E211" i="4"/>
  <c r="E210" i="4"/>
  <c r="E209" i="4"/>
  <c r="E208" i="4"/>
  <c r="E207" i="4"/>
  <c r="E206" i="4"/>
  <c r="E199" i="4"/>
  <c r="E198" i="4"/>
  <c r="E197" i="4"/>
  <c r="E196" i="4"/>
  <c r="E195" i="4"/>
  <c r="E194" i="4"/>
  <c r="E189" i="4"/>
  <c r="E188" i="4"/>
  <c r="E187" i="4"/>
  <c r="E186" i="4"/>
  <c r="E185" i="4"/>
  <c r="E184" i="4"/>
  <c r="E183" i="4"/>
  <c r="E182" i="4"/>
  <c r="E177" i="4"/>
  <c r="E176" i="4"/>
  <c r="E175" i="4"/>
  <c r="E174" i="4"/>
  <c r="E173" i="4"/>
  <c r="E172" i="4"/>
  <c r="E171" i="4"/>
  <c r="E170" i="4"/>
  <c r="E163" i="4"/>
  <c r="E162" i="4"/>
  <c r="E161" i="4"/>
  <c r="E160" i="4"/>
  <c r="E159" i="4"/>
  <c r="E158" i="4"/>
  <c r="E150" i="4"/>
  <c r="E149" i="4"/>
  <c r="E148" i="4"/>
  <c r="E147" i="4"/>
  <c r="E146" i="4"/>
  <c r="E138" i="4"/>
  <c r="E137" i="4"/>
  <c r="E136" i="4"/>
  <c r="E135" i="4"/>
  <c r="E134" i="4"/>
  <c r="E125" i="4"/>
  <c r="E124" i="4"/>
  <c r="E123" i="4"/>
  <c r="E122" i="4"/>
  <c r="E114" i="4"/>
  <c r="E113" i="4"/>
  <c r="E112" i="4"/>
  <c r="E111" i="4"/>
  <c r="E110" i="4"/>
  <c r="E105" i="4"/>
  <c r="E104" i="4"/>
  <c r="E103" i="4"/>
  <c r="E102" i="4"/>
  <c r="E101" i="4"/>
  <c r="E100" i="4"/>
  <c r="E99" i="4"/>
  <c r="E98" i="4"/>
  <c r="E162" i="1"/>
  <c r="E161" i="1"/>
  <c r="E160" i="1"/>
  <c r="E159" i="1"/>
  <c r="E158" i="1"/>
  <c r="E157" i="1"/>
  <c r="E156" i="1"/>
  <c r="E155" i="1"/>
  <c r="E152" i="1"/>
  <c r="E151" i="1"/>
  <c r="E150" i="1"/>
  <c r="E149" i="1"/>
  <c r="E148" i="1"/>
  <c r="E147" i="1"/>
  <c r="E144" i="1"/>
  <c r="E143" i="1"/>
  <c r="E142" i="1"/>
  <c r="E141" i="1"/>
  <c r="E140" i="1"/>
  <c r="E139" i="1"/>
  <c r="E138" i="1"/>
  <c r="E137" i="1"/>
  <c r="E134" i="1"/>
  <c r="E133" i="1"/>
  <c r="E132" i="1"/>
  <c r="E131" i="1"/>
  <c r="E130" i="1"/>
  <c r="E129" i="1"/>
  <c r="E128" i="1"/>
  <c r="E127" i="1"/>
  <c r="E124" i="1"/>
  <c r="E123" i="1"/>
  <c r="E122" i="1"/>
  <c r="E121" i="1"/>
  <c r="E120" i="1"/>
  <c r="E119" i="1"/>
  <c r="E116" i="1"/>
  <c r="E115" i="1"/>
  <c r="E114" i="1"/>
  <c r="E113" i="1"/>
  <c r="E112" i="1"/>
  <c r="E109" i="1"/>
  <c r="E108" i="1"/>
  <c r="E107" i="1"/>
  <c r="E106" i="1"/>
  <c r="E105" i="1"/>
  <c r="E102" i="1"/>
  <c r="E101" i="1"/>
  <c r="E100" i="1"/>
  <c r="E99" i="1"/>
  <c r="E96" i="1"/>
  <c r="E95" i="1"/>
  <c r="E94" i="1"/>
  <c r="E93" i="1"/>
  <c r="E92" i="1"/>
  <c r="E89" i="1"/>
  <c r="E88" i="1"/>
  <c r="E87" i="1"/>
  <c r="E86" i="1"/>
  <c r="E85" i="1"/>
  <c r="E84" i="1"/>
  <c r="E83" i="1"/>
  <c r="E82" i="1"/>
  <c r="E27" i="4"/>
  <c r="D17" i="4"/>
  <c r="D49" i="4"/>
  <c r="D16" i="4"/>
  <c r="E23" i="4"/>
  <c r="C254" i="4"/>
  <c r="D254" i="4"/>
  <c r="E254" i="4"/>
  <c r="F213" i="4"/>
  <c r="F212" i="4"/>
  <c r="F211" i="4"/>
  <c r="F210" i="4"/>
  <c r="F209" i="4"/>
  <c r="F208" i="4"/>
  <c r="F207" i="4"/>
  <c r="F206" i="4"/>
  <c r="F205" i="4"/>
  <c r="E205" i="4"/>
  <c r="F199" i="4"/>
  <c r="F198" i="4"/>
  <c r="F197" i="4"/>
  <c r="F196" i="4"/>
  <c r="F195" i="4"/>
  <c r="F194" i="4"/>
  <c r="F193" i="4"/>
  <c r="E193" i="4"/>
  <c r="F189" i="4"/>
  <c r="F188" i="4"/>
  <c r="F187" i="4"/>
  <c r="F186" i="4"/>
  <c r="F185" i="4"/>
  <c r="F184" i="4"/>
  <c r="F183" i="4"/>
  <c r="F182" i="4"/>
  <c r="F181" i="4"/>
  <c r="E181" i="4"/>
  <c r="F177" i="4"/>
  <c r="F176" i="4"/>
  <c r="F175" i="4"/>
  <c r="F174" i="4"/>
  <c r="F173" i="4"/>
  <c r="F172" i="4"/>
  <c r="F171" i="4"/>
  <c r="F170" i="4"/>
  <c r="F169" i="4"/>
  <c r="E169" i="4"/>
  <c r="F163" i="4"/>
  <c r="F162" i="4"/>
  <c r="F161" i="4"/>
  <c r="F160" i="4"/>
  <c r="F159" i="4"/>
  <c r="F158" i="4"/>
  <c r="F157" i="4"/>
  <c r="E157" i="4"/>
  <c r="F150" i="4"/>
  <c r="F149" i="4"/>
  <c r="F148" i="4"/>
  <c r="F147" i="4"/>
  <c r="F146" i="4"/>
  <c r="F145" i="4"/>
  <c r="E145" i="4"/>
  <c r="F138" i="4"/>
  <c r="F137" i="4"/>
  <c r="F136" i="4"/>
  <c r="F135" i="4"/>
  <c r="F134" i="4"/>
  <c r="F133" i="4"/>
  <c r="E133" i="4"/>
  <c r="F125" i="4"/>
  <c r="F124" i="4"/>
  <c r="F123" i="4"/>
  <c r="F122" i="4"/>
  <c r="F121" i="4"/>
  <c r="E121" i="4"/>
  <c r="F114" i="4"/>
  <c r="F113" i="4"/>
  <c r="F112" i="4"/>
  <c r="F111" i="4"/>
  <c r="F110" i="4"/>
  <c r="F109" i="4"/>
  <c r="E109" i="4"/>
  <c r="F105" i="4"/>
  <c r="F104" i="4"/>
  <c r="F103" i="4"/>
  <c r="F102" i="4"/>
  <c r="F101" i="4"/>
  <c r="F100" i="4"/>
  <c r="F99" i="4"/>
  <c r="F98" i="4"/>
  <c r="F97" i="4"/>
  <c r="E97" i="4"/>
  <c r="F95" i="4"/>
  <c r="E95" i="4"/>
  <c r="F94" i="4"/>
  <c r="E94" i="4"/>
  <c r="F93" i="4"/>
  <c r="E93" i="4"/>
  <c r="F92" i="4"/>
  <c r="E92" i="4"/>
  <c r="F91" i="4"/>
  <c r="E91" i="4"/>
  <c r="F90" i="4"/>
  <c r="E90" i="4"/>
  <c r="F89" i="4"/>
  <c r="E89" i="4"/>
  <c r="F88" i="4"/>
  <c r="E88" i="4"/>
  <c r="F87" i="4"/>
  <c r="E87" i="4"/>
  <c r="F86" i="4"/>
  <c r="E86" i="4"/>
  <c r="F85" i="4"/>
  <c r="E85" i="4"/>
  <c r="F78" i="4"/>
  <c r="E78" i="4"/>
  <c r="F77" i="4"/>
  <c r="E77" i="4"/>
  <c r="F76" i="4"/>
  <c r="E76" i="4"/>
  <c r="F75" i="4"/>
  <c r="E75" i="4"/>
  <c r="F74" i="4"/>
  <c r="E74" i="4"/>
  <c r="F73" i="4"/>
  <c r="E73" i="4"/>
  <c r="E57" i="4"/>
  <c r="E56" i="4"/>
  <c r="E55" i="4"/>
  <c r="E54" i="4"/>
  <c r="E53" i="4"/>
  <c r="E52" i="4"/>
  <c r="E51" i="4"/>
  <c r="C49" i="4"/>
  <c r="E49" i="4"/>
  <c r="C38" i="4"/>
  <c r="B38" i="4"/>
  <c r="C37" i="4"/>
  <c r="B37" i="4"/>
  <c r="C36" i="4"/>
  <c r="B36" i="4"/>
  <c r="C35" i="4"/>
  <c r="B35" i="4"/>
  <c r="C34" i="4"/>
  <c r="B34" i="4"/>
  <c r="C33" i="4"/>
  <c r="B33" i="4"/>
  <c r="C32" i="4"/>
  <c r="B32" i="4"/>
  <c r="C31" i="4"/>
  <c r="B31" i="4"/>
  <c r="C30" i="4"/>
  <c r="B30" i="4"/>
  <c r="C29" i="4"/>
  <c r="B29" i="4"/>
  <c r="C28" i="4"/>
  <c r="B28" i="4"/>
  <c r="C27" i="4"/>
  <c r="B27" i="4"/>
  <c r="B23" i="4"/>
  <c r="D19" i="4"/>
  <c r="D9" i="4"/>
  <c r="D10" i="4"/>
  <c r="D12" i="4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F155" i="1"/>
  <c r="F156" i="1"/>
  <c r="F157" i="1"/>
  <c r="F158" i="1"/>
  <c r="F159" i="1"/>
  <c r="F160" i="1"/>
  <c r="F161" i="1"/>
  <c r="F162" i="1"/>
  <c r="F147" i="1"/>
  <c r="F148" i="1"/>
  <c r="F149" i="1"/>
  <c r="F150" i="1"/>
  <c r="F151" i="1"/>
  <c r="F152" i="1"/>
  <c r="F137" i="1"/>
  <c r="F138" i="1"/>
  <c r="F139" i="1"/>
  <c r="F140" i="1"/>
  <c r="F141" i="1"/>
  <c r="F142" i="1"/>
  <c r="F143" i="1"/>
  <c r="F144" i="1"/>
  <c r="F127" i="1"/>
  <c r="F128" i="1"/>
  <c r="F129" i="1"/>
  <c r="F130" i="1"/>
  <c r="F131" i="1"/>
  <c r="F132" i="1"/>
  <c r="F133" i="1"/>
  <c r="F134" i="1"/>
  <c r="F119" i="1"/>
  <c r="F120" i="1"/>
  <c r="F121" i="1"/>
  <c r="F122" i="1"/>
  <c r="F123" i="1"/>
  <c r="F124" i="1"/>
  <c r="F112" i="1"/>
  <c r="F113" i="1"/>
  <c r="F114" i="1"/>
  <c r="F115" i="1"/>
  <c r="F116" i="1"/>
  <c r="F105" i="1"/>
  <c r="F106" i="1"/>
  <c r="F107" i="1"/>
  <c r="F108" i="1"/>
  <c r="F109" i="1"/>
  <c r="F99" i="1"/>
  <c r="F100" i="1"/>
  <c r="F101" i="1"/>
  <c r="F102" i="1"/>
  <c r="F92" i="1"/>
  <c r="F93" i="1"/>
  <c r="F94" i="1"/>
  <c r="F95" i="1"/>
  <c r="F96" i="1"/>
  <c r="F82" i="1"/>
  <c r="F83" i="1"/>
  <c r="F84" i="1"/>
  <c r="F85" i="1"/>
  <c r="F86" i="1"/>
  <c r="F87" i="1"/>
  <c r="F88" i="1"/>
  <c r="F89" i="1"/>
  <c r="F154" i="1"/>
  <c r="F146" i="1"/>
  <c r="F136" i="1"/>
  <c r="F126" i="1"/>
  <c r="F118" i="1"/>
  <c r="F111" i="1"/>
  <c r="F104" i="1"/>
  <c r="F98" i="1"/>
  <c r="F91" i="1"/>
  <c r="F81" i="1"/>
  <c r="F79" i="1"/>
  <c r="F78" i="1"/>
  <c r="F77" i="1"/>
  <c r="F76" i="1"/>
  <c r="F75" i="1"/>
  <c r="F74" i="1"/>
  <c r="F73" i="1"/>
  <c r="F72" i="1"/>
  <c r="F71" i="1"/>
  <c r="F70" i="1"/>
  <c r="F69" i="1"/>
  <c r="F67" i="1"/>
  <c r="F66" i="1"/>
  <c r="F65" i="1"/>
  <c r="F63" i="1"/>
  <c r="F64" i="1"/>
  <c r="F62" i="1"/>
  <c r="C38" i="1"/>
  <c r="C37" i="1"/>
  <c r="C36" i="1"/>
  <c r="C35" i="1"/>
  <c r="C34" i="1"/>
  <c r="C33" i="1"/>
  <c r="C32" i="1"/>
  <c r="C31" i="1"/>
  <c r="C30" i="1"/>
  <c r="C29" i="1"/>
  <c r="C28" i="1"/>
  <c r="C27" i="1"/>
  <c r="B38" i="1"/>
  <c r="B37" i="1"/>
  <c r="B36" i="1"/>
  <c r="B35" i="1"/>
  <c r="B34" i="1"/>
  <c r="B33" i="1"/>
  <c r="B32" i="1"/>
  <c r="B31" i="1"/>
  <c r="B30" i="1"/>
  <c r="B29" i="1"/>
  <c r="B28" i="1"/>
  <c r="B27" i="1"/>
  <c r="B23" i="1"/>
  <c r="D19" i="1"/>
  <c r="C46" i="1"/>
  <c r="D9" i="1"/>
  <c r="C60" i="1"/>
  <c r="D10" i="1"/>
  <c r="D12" i="1"/>
  <c r="E55" i="1"/>
  <c r="E54" i="1"/>
  <c r="E53" i="1"/>
  <c r="E52" i="1"/>
  <c r="E51" i="1"/>
  <c r="E50" i="1"/>
  <c r="E49" i="1"/>
  <c r="E48" i="1"/>
  <c r="E46" i="1"/>
  <c r="D165" i="1"/>
  <c r="C165" i="1"/>
  <c r="E165" i="1"/>
  <c r="E154" i="1"/>
  <c r="E146" i="1"/>
  <c r="E136" i="1"/>
  <c r="E126" i="1"/>
  <c r="E118" i="1"/>
  <c r="E111" i="1"/>
  <c r="E104" i="1"/>
  <c r="E98" i="1"/>
  <c r="E91" i="1"/>
  <c r="E70" i="1"/>
  <c r="E71" i="1"/>
  <c r="E72" i="1"/>
  <c r="E73" i="1"/>
  <c r="E74" i="1"/>
  <c r="E75" i="1"/>
  <c r="E76" i="1"/>
  <c r="E77" i="1"/>
  <c r="E78" i="1"/>
  <c r="E79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E69" i="1"/>
  <c r="E60" i="1"/>
  <c r="E81" i="1"/>
  <c r="E67" i="1"/>
  <c r="E66" i="1"/>
  <c r="E63" i="1"/>
  <c r="E64" i="1"/>
  <c r="E65" i="1"/>
  <c r="E62" i="1"/>
</calcChain>
</file>

<file path=xl/sharedStrings.xml><?xml version="1.0" encoding="utf-8"?>
<sst xmlns="http://schemas.openxmlformats.org/spreadsheetml/2006/main" count="7791" uniqueCount="174">
  <si>
    <t>Kategoria</t>
  </si>
  <si>
    <t>Jedzenie</t>
  </si>
  <si>
    <t>Jedzenie dom</t>
  </si>
  <si>
    <t>Jedzenie miasto</t>
  </si>
  <si>
    <t>Jedzenie praca</t>
  </si>
  <si>
    <t>Alkohol</t>
  </si>
  <si>
    <t>Transport</t>
  </si>
  <si>
    <t>Bilet komunikacji miejskiej</t>
  </si>
  <si>
    <t>Taxi</t>
  </si>
  <si>
    <t>Inne</t>
  </si>
  <si>
    <t>Mieszkanie / dom</t>
  </si>
  <si>
    <t>Czynsz</t>
  </si>
  <si>
    <t>Prąd</t>
  </si>
  <si>
    <t>Gaz</t>
  </si>
  <si>
    <t>Woda i kanalizacja</t>
  </si>
  <si>
    <t>Wywóz śmieci</t>
  </si>
  <si>
    <t>Konserwacja i naprawy</t>
  </si>
  <si>
    <t>Wyposażenie</t>
  </si>
  <si>
    <t>Ubranie</t>
  </si>
  <si>
    <t>Spłata długów</t>
  </si>
  <si>
    <t>Pożyczka osobista</t>
  </si>
  <si>
    <t>Kredyt hipoteczny</t>
  </si>
  <si>
    <t>Karta kredytowa 1</t>
  </si>
  <si>
    <t>Karta kredytowa 2</t>
  </si>
  <si>
    <t>Oszczędności</t>
  </si>
  <si>
    <t>Wydatki</t>
  </si>
  <si>
    <t>Przychody</t>
  </si>
  <si>
    <t>Fundusz awaryjny</t>
  </si>
  <si>
    <t>Fundusz wydatków nieregularnych</t>
  </si>
  <si>
    <t>Poduszka finansowa</t>
  </si>
  <si>
    <t xml:space="preserve"> </t>
  </si>
  <si>
    <t>SUMA</t>
  </si>
  <si>
    <t>Całkowite przychody</t>
  </si>
  <si>
    <t>Ogrzewanie</t>
  </si>
  <si>
    <t>Wynagrodzenie</t>
  </si>
  <si>
    <t>Wynagrodzenie Partnera / Partnerki</t>
  </si>
  <si>
    <t>Przychody z premii bankowych</t>
  </si>
  <si>
    <t>Odsetki bankowe</t>
  </si>
  <si>
    <t>Premia</t>
  </si>
  <si>
    <t>Sprzedaż na Allegro itp.</t>
  </si>
  <si>
    <t>Inne przychody</t>
  </si>
  <si>
    <t>Komentarz</t>
  </si>
  <si>
    <t>Dane zbiorcze</t>
  </si>
  <si>
    <t>Dane szczegółowe - dzień po dniu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</si>
  <si>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</si>
  <si>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</si>
  <si>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</si>
  <si>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</si>
  <si>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</si>
  <si>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</si>
  <si>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</si>
  <si>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</si>
  <si>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</si>
  <si>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</si>
  <si>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</si>
  <si>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</si>
  <si>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</si>
  <si>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</si>
  <si>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</si>
  <si>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</si>
  <si>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</si>
  <si>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</si>
  <si>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</si>
  <si>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</si>
  <si>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</si>
  <si>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</si>
  <si>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</si>
  <si>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</si>
  <si>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</si>
  <si>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</si>
  <si>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</si>
  <si>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</si>
  <si>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</si>
  <si>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</si>
  <si>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</si>
  <si>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Telekomunikacja</t>
  </si>
  <si>
    <t>Telefon 1</t>
  </si>
  <si>
    <t>Telefon 2</t>
  </si>
  <si>
    <t>TV</t>
  </si>
  <si>
    <t>Internet</t>
  </si>
  <si>
    <t>Higiena</t>
  </si>
  <si>
    <t>Kosmetyki</t>
  </si>
  <si>
    <t>Buty</t>
  </si>
  <si>
    <t>Ubranie sportowe</t>
  </si>
  <si>
    <t>Dodatki</t>
  </si>
  <si>
    <t>Kredyt konsumpcyjny</t>
  </si>
  <si>
    <t>Środki czystości (chemia)</t>
  </si>
  <si>
    <t>Fryzjer</t>
  </si>
  <si>
    <t>Kosmetyczka</t>
  </si>
  <si>
    <t>Wyposażenie dodatkowe (opony)</t>
  </si>
  <si>
    <t>Ubezpieczenie auta</t>
  </si>
  <si>
    <t>Paliwo do auta</t>
  </si>
  <si>
    <t>Przeglądy i naprawy auta</t>
  </si>
  <si>
    <t>Bilet PKP, PKS</t>
  </si>
  <si>
    <t>Konto emerytalne IKE/IKZE</t>
  </si>
  <si>
    <t>Nadpłata długów</t>
  </si>
  <si>
    <t>Fundusz: wakacje</t>
  </si>
  <si>
    <t>Fundusz: prezenty świąteczne</t>
  </si>
  <si>
    <t>Opieka zdrowotna</t>
  </si>
  <si>
    <t>Lekarz</t>
  </si>
  <si>
    <t>Badania</t>
  </si>
  <si>
    <t>Lekarstwa</t>
  </si>
  <si>
    <t>Inne wydatki</t>
  </si>
  <si>
    <t>Dzieci</t>
  </si>
  <si>
    <t>Ubezpieczenie nieruchomości</t>
  </si>
  <si>
    <t>Rozrywka</t>
  </si>
  <si>
    <t>Kino / Teatr</t>
  </si>
  <si>
    <t>Siłownia / Basen</t>
  </si>
  <si>
    <t>Czasopisma</t>
  </si>
  <si>
    <t>Koncerty</t>
  </si>
  <si>
    <t>Hobby</t>
  </si>
  <si>
    <t>Dobroczynność</t>
  </si>
  <si>
    <t>Prezenty</t>
  </si>
  <si>
    <t>Sprzęt RTV</t>
  </si>
  <si>
    <t>Książki</t>
  </si>
  <si>
    <t>Edukacja / Szkolenia</t>
  </si>
  <si>
    <t>Artykuły szkolne</t>
  </si>
  <si>
    <t>Dodatkowe zajęcia</t>
  </si>
  <si>
    <t>Wpłaty na szkołę itp.</t>
  </si>
  <si>
    <t>Zabawki / gry</t>
  </si>
  <si>
    <t>Opieka nad dziećmi</t>
  </si>
  <si>
    <t>Usługi inne</t>
  </si>
  <si>
    <t>Podatki</t>
  </si>
  <si>
    <t>Oprogramowanie</t>
  </si>
  <si>
    <t>Hotel / Turystyka</t>
  </si>
  <si>
    <t>Ubranie zwykłe</t>
  </si>
  <si>
    <t>Suma wydatków dziennych:</t>
  </si>
  <si>
    <t>Planowane przychody</t>
  </si>
  <si>
    <t>Rzeczywiste przychody</t>
  </si>
  <si>
    <t>Różnica</t>
  </si>
  <si>
    <t>MIESIĄC BUDŻETOWY</t>
  </si>
  <si>
    <t>Planowane wydatki</t>
  </si>
  <si>
    <t>Plan budżetu</t>
  </si>
  <si>
    <t>Pozostaje do rozdysponowania</t>
  </si>
  <si>
    <t>Rzeczywista realizacja budżetu</t>
  </si>
  <si>
    <t>Rzeczywiste wydatki</t>
  </si>
  <si>
    <t>Mogę jeszcze wydać do końca miesiąca</t>
  </si>
  <si>
    <t>PROCENT WYDANEGO PRZYCHODU</t>
  </si>
  <si>
    <t>STOPIEŃ REALIZACJI BUDŻETU W KATEGORIACH</t>
  </si>
  <si>
    <t>SUMA:</t>
  </si>
  <si>
    <t>Stopień realizacji</t>
  </si>
  <si>
    <t>budżetu</t>
  </si>
  <si>
    <t>Poniższe pola reprezentują kolejne dni. Wpisz w odpowiednim polu wydatki w danej kategorii w danym dniu. Jeśli chcesz dodać komentarz - po prostu dodaj komentarz :) Jeśli chcesz wprowadzić więcej niż jedną transakcję w tej samej komórce, wpisz = i następnie wykonaj wpisz działanie, np. 10+5,20.</t>
  </si>
  <si>
    <t>&lt;-- Po zakończeniu planowania budżetu tu powinno być 0 zł :)</t>
  </si>
  <si>
    <t xml:space="preserve">Ten arkusz składa się z dwóch części:
- ANALIZA I WIZUALIZACJA BUDŻETU - tu przedstawiony jest Plan budżetu ora jego rzeczywista realizacja. W tej sekcji nie należy edytować żadnych danych.
- WPROWADZANIE DANYCH - tu można zaplanować budżet miesięczny wypełniając ŻÓŁTE pola, a także uzupełniać na bieżąco listę wydatków każdego dnia.
Aby uzupełnić listę wydatków należy:
- Kliknąć minus widoczny nad kolumną H i ukryć część danych analitycznych.
- Wybrać kolumnę z numerem dnia miesiąca (kolumny od I w prawo).
- Wpisać wydaną kwotę w wierszu odpowiadającym kategorii danego kosztu (widocznej po lewej stronie).
- Jeśli w danym dniu dokonaliśmy więcej niż jednego wydatku w tej samej kategorii, to należy w polu wpisać formułę = oraz działanie sumowania obu wydatkowanych kwot, np. 10+5,20.
- Wszystkie dane przeliczane są na bieżąco i automatycznie.
- Zielone paski w poszczególnych polach pokazują stopień realizacji budżetu.
</t>
  </si>
  <si>
    <t>Urodziny Michała</t>
  </si>
  <si>
    <t>BUDŻET CAŁEGO ROKU</t>
  </si>
  <si>
    <t>Arkusz pochodzi z bloga:</t>
  </si>
  <si>
    <t xml:space="preserve"> http://jakoszczedzacpieniadze.pl</t>
  </si>
  <si>
    <t>LISTA KATEGORII</t>
  </si>
  <si>
    <t>Wzorcowa lista kategorii</t>
  </si>
  <si>
    <t>Plan budżetu całorocznego</t>
  </si>
  <si>
    <t>Rzeczywista realizacja budżetu całorocznego</t>
  </si>
  <si>
    <t>Ten arkusz służy do ustawienia listy kategorii, która następnie powielana jest na wszystkie pozostałe arkusze miesięczne oraz podsumowanie roczne. Można i należy zmodyfikować nazwy kategorii i podkategorii dostosowując je do własnych wymagań i sposobu kategoryzacji wydatków.</t>
  </si>
  <si>
    <t>Styczeń 2017</t>
  </si>
  <si>
    <t>Budowanie oszczędności</t>
  </si>
  <si>
    <t>INNE 1</t>
  </si>
  <si>
    <t>INNE 2</t>
  </si>
  <si>
    <t>INNE 3</t>
  </si>
  <si>
    <t>Poniższe pola reprezentują kolejne dni. Wpisz w odpowiednim polu przychody w danej kategorii w danym dniu. Jeśli chcesz dodać komentarz - po prostu dodaj komentarz :) Jeśli chcesz wprowadzić więcej niż jedną transakcję w tej samej komórce, wpisz = i następnie wykonaj wpisz działanie, np. 10+5,20.</t>
  </si>
  <si>
    <t>Luty 2017</t>
  </si>
  <si>
    <t>Marzec 2017</t>
  </si>
  <si>
    <t>Kwiecień 2017</t>
  </si>
  <si>
    <t>Maj 2017</t>
  </si>
  <si>
    <t>Czerwiec 2017</t>
  </si>
  <si>
    <t>Lipiec 2017</t>
  </si>
  <si>
    <t>Sierpień 2017</t>
  </si>
  <si>
    <t>Wrzesień 2017</t>
  </si>
  <si>
    <t>Październik 2017</t>
  </si>
  <si>
    <t>Listopad 2017</t>
  </si>
  <si>
    <t>Grudzień 2017</t>
  </si>
  <si>
    <t>2017</t>
  </si>
  <si>
    <t>.</t>
  </si>
  <si>
    <t>PRZYKŁAD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</si>
</sst>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zł&quot;_);[Red]\(#,##0.00\ &quot;zł&quot;\)"/>
    <numFmt numFmtId="164" formatCode="#,##0.00\ &quot;zł&quot;;[Red]\-#,##0.00\ &quot;zł&quot;"/>
    <numFmt numFmtId="165" formatCode="_-* #,##0.00\ &quot;zł&quot;_-;\-* #,##0.00\ &quot;zł&quot;_-;_-* &quot;-&quot;??\ &quot;zł&quot;_-;_-@_-"/>
    <numFmt numFmtId="166" formatCode="#,##0.00\ &quot;zł&quot;"/>
    <numFmt numFmtId="167" formatCode="[$-415]mmm\ yy;@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 (Tekst podstawowy)"/>
    </font>
    <font>
      <b/>
      <sz val="11"/>
      <color theme="1"/>
      <name val="Calibri (Tekst podstawowy)"/>
    </font>
    <font>
      <b/>
      <sz val="16"/>
      <color theme="1"/>
      <name val="Calibri (Tekst podstawowy)"/>
    </font>
    <font>
      <b/>
      <sz val="14"/>
      <color theme="1"/>
      <name val="Calibri (Tekst podstawowy)"/>
    </font>
    <font>
      <b/>
      <sz val="12"/>
      <color theme="0"/>
      <name val="Calibri (Tekst podstawowy)"/>
    </font>
    <font>
      <b/>
      <sz val="18"/>
      <color theme="0"/>
      <name val="Calibri (Tekst podstawowy)"/>
    </font>
    <font>
      <sz val="18"/>
      <color theme="1"/>
      <name val="Calibri (Tekst podstawowy)"/>
    </font>
    <font>
      <b/>
      <u val="doubleAccounting"/>
      <sz val="11"/>
      <color theme="1"/>
      <name val="Calibri (Tekst podstawowy)"/>
    </font>
    <font>
      <i/>
      <sz val="11"/>
      <color theme="1"/>
      <name val="Calibri"/>
      <scheme val="minor"/>
    </font>
    <font>
      <b/>
      <sz val="10"/>
      <color theme="0"/>
      <name val="Calibri (Tekst podstawowy)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/>
      <bottom style="medium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226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0" fontId="6" fillId="3" borderId="0" xfId="0" applyFont="1" applyFill="1"/>
    <xf numFmtId="164" fontId="6" fillId="3" borderId="0" xfId="0" applyNumberFormat="1" applyFont="1" applyFill="1"/>
    <xf numFmtId="164" fontId="0" fillId="0" borderId="0" xfId="1" applyNumberFormat="1" applyFont="1"/>
    <xf numFmtId="0" fontId="0" fillId="0" borderId="0" xfId="0" quotePrefix="1"/>
    <xf numFmtId="164" fontId="0" fillId="0" borderId="0" xfId="1" applyNumberFormat="1" applyFont="1" applyFill="1"/>
    <xf numFmtId="0" fontId="7" fillId="0" borderId="0" xfId="0" applyFont="1"/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166" fontId="0" fillId="0" borderId="0" xfId="0" applyNumberFormat="1"/>
    <xf numFmtId="0" fontId="0" fillId="0" borderId="0" xfId="0" applyFont="1"/>
    <xf numFmtId="0" fontId="6" fillId="3" borderId="0" xfId="0" applyFont="1" applyFill="1" applyAlignment="1">
      <alignment vertical="top"/>
    </xf>
    <xf numFmtId="164" fontId="6" fillId="3" borderId="0" xfId="0" applyNumberFormat="1" applyFont="1" applyFill="1" applyAlignment="1">
      <alignment vertical="top"/>
    </xf>
    <xf numFmtId="164" fontId="4" fillId="3" borderId="0" xfId="1" applyNumberFormat="1" applyFont="1" applyFill="1" applyBorder="1" applyAlignment="1">
      <alignment vertical="top"/>
    </xf>
    <xf numFmtId="9" fontId="6" fillId="3" borderId="0" xfId="26" applyFont="1" applyFill="1" applyAlignment="1">
      <alignment horizontal="center" vertical="top"/>
    </xf>
    <xf numFmtId="0" fontId="0" fillId="0" borderId="0" xfId="0" applyAlignment="1">
      <alignment vertical="top"/>
    </xf>
    <xf numFmtId="164" fontId="0" fillId="4" borderId="0" xfId="1" applyNumberFormat="1" applyFont="1" applyFill="1" applyAlignment="1">
      <alignment vertical="top"/>
    </xf>
    <xf numFmtId="164" fontId="0" fillId="0" borderId="0" xfId="1" applyNumberFormat="1" applyFont="1" applyAlignment="1">
      <alignment vertical="top"/>
    </xf>
    <xf numFmtId="9" fontId="0" fillId="0" borderId="0" xfId="26" applyFont="1" applyAlignment="1">
      <alignment horizontal="center" vertical="top"/>
    </xf>
    <xf numFmtId="0" fontId="0" fillId="0" borderId="0" xfId="0" applyAlignment="1">
      <alignment vertical="top" wrapText="1"/>
    </xf>
    <xf numFmtId="164" fontId="6" fillId="3" borderId="0" xfId="0" applyNumberFormat="1" applyFont="1" applyFill="1" applyAlignment="1">
      <alignment vertical="top" wrapText="1"/>
    </xf>
    <xf numFmtId="164" fontId="0" fillId="0" borderId="0" xfId="1" applyNumberFormat="1" applyFont="1" applyAlignment="1">
      <alignment vertical="top" wrapText="1"/>
    </xf>
    <xf numFmtId="0" fontId="0" fillId="0" borderId="0" xfId="0" applyFill="1"/>
    <xf numFmtId="0" fontId="0" fillId="0" borderId="0" xfId="0" quotePrefix="1" applyFill="1"/>
    <xf numFmtId="0" fontId="0" fillId="0" borderId="0" xfId="0" applyAlignment="1">
      <alignment horizontal="right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right" vertical="center" wrapText="1"/>
    </xf>
    <xf numFmtId="164" fontId="12" fillId="0" borderId="0" xfId="0" applyNumberFormat="1" applyFont="1" applyAlignment="1">
      <alignment vertical="center"/>
    </xf>
    <xf numFmtId="164" fontId="0" fillId="0" borderId="0" xfId="0" applyNumberFormat="1" applyAlignment="1">
      <alignment horizontal="center" vertical="center"/>
    </xf>
    <xf numFmtId="0" fontId="7" fillId="0" borderId="3" xfId="0" applyFont="1" applyBorder="1"/>
    <xf numFmtId="0" fontId="0" fillId="0" borderId="3" xfId="0" applyBorder="1" applyAlignment="1">
      <alignment vertical="top"/>
    </xf>
    <xf numFmtId="164" fontId="0" fillId="0" borderId="0" xfId="0" applyNumberFormat="1" applyAlignment="1">
      <alignment horizontal="right" vertical="center"/>
    </xf>
    <xf numFmtId="0" fontId="0" fillId="3" borderId="0" xfId="0" applyFill="1" applyAlignment="1">
      <alignment vertical="top"/>
    </xf>
    <xf numFmtId="164" fontId="12" fillId="3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9" fontId="8" fillId="0" borderId="0" xfId="26" applyFont="1" applyAlignment="1">
      <alignment horizontal="center" vertical="center"/>
    </xf>
    <xf numFmtId="164" fontId="5" fillId="5" borderId="0" xfId="0" applyNumberFormat="1" applyFont="1" applyFill="1" applyAlignment="1">
      <alignment horizontal="center" vertical="center"/>
    </xf>
    <xf numFmtId="164" fontId="9" fillId="5" borderId="0" xfId="0" applyNumberFormat="1" applyFont="1" applyFill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quotePrefix="1" applyFont="1" applyAlignment="1">
      <alignment vertical="center"/>
    </xf>
    <xf numFmtId="164" fontId="14" fillId="5" borderId="0" xfId="0" applyNumberFormat="1" applyFont="1" applyFill="1" applyAlignment="1">
      <alignment horizontal="center" vertical="center"/>
    </xf>
    <xf numFmtId="0" fontId="8" fillId="0" borderId="0" xfId="0" applyFont="1"/>
    <xf numFmtId="0" fontId="16" fillId="0" borderId="0" xfId="217" applyFont="1" applyAlignment="1">
      <alignment vertical="top"/>
    </xf>
    <xf numFmtId="0" fontId="0" fillId="0" borderId="0" xfId="0" applyAlignment="1">
      <alignment horizontal="right" vertical="center"/>
    </xf>
    <xf numFmtId="164" fontId="0" fillId="0" borderId="0" xfId="1" applyNumberFormat="1" applyFont="1" applyFill="1" applyAlignment="1">
      <alignment vertical="top"/>
    </xf>
    <xf numFmtId="0" fontId="0" fillId="0" borderId="0" xfId="0" applyAlignment="1">
      <alignment horizontal="right" vertical="center"/>
    </xf>
    <xf numFmtId="8" fontId="0" fillId="0" borderId="0" xfId="1" applyNumberFormat="1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wrapText="1"/>
    </xf>
    <xf numFmtId="8" fontId="0" fillId="0" borderId="0" xfId="0" applyNumberFormat="1" applyFont="1" applyFill="1" applyAlignment="1">
      <alignment vertical="top"/>
    </xf>
    <xf numFmtId="9" fontId="0" fillId="0" borderId="0" xfId="26" applyNumberFormat="1" applyFont="1" applyAlignment="1">
      <alignment horizontal="center" vertical="top"/>
    </xf>
    <xf numFmtId="8" fontId="0" fillId="0" borderId="0" xfId="1" applyNumberFormat="1" applyFont="1" applyAlignment="1">
      <alignment vertical="top" wrapText="1"/>
    </xf>
    <xf numFmtId="166" fontId="0" fillId="0" borderId="0" xfId="0" applyNumberFormat="1" applyFill="1"/>
    <xf numFmtId="0" fontId="0" fillId="4" borderId="0" xfId="0" applyFill="1" applyAlignment="1">
      <alignment vertical="top" wrapText="1"/>
    </xf>
    <xf numFmtId="164" fontId="5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vertical="top" wrapText="1"/>
    </xf>
    <xf numFmtId="49" fontId="0" fillId="4" borderId="0" xfId="0" applyNumberFormat="1" applyFill="1" applyAlignment="1">
      <alignment vertical="top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3" borderId="0" xfId="0" applyFill="1" applyAlignment="1">
      <alignment horizontal="right" vertical="center" wrapText="1"/>
    </xf>
    <xf numFmtId="0" fontId="5" fillId="6" borderId="0" xfId="0" applyFont="1" applyFill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6" borderId="0" xfId="0" applyFont="1" applyFill="1" applyAlignment="1">
      <alignment horizontal="center"/>
    </xf>
    <xf numFmtId="167" fontId="11" fillId="0" borderId="1" xfId="0" quotePrefix="1" applyNumberFormat="1" applyFont="1" applyBorder="1" applyAlignment="1">
      <alignment horizontal="center"/>
    </xf>
    <xf numFmtId="167" fontId="11" fillId="0" borderId="2" xfId="0" applyNumberFormat="1" applyFont="1" applyBorder="1" applyAlignment="1">
      <alignment horizont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left" vertical="top" wrapText="1"/>
    </xf>
    <xf numFmtId="164" fontId="0" fillId="0" borderId="6" xfId="0" applyNumberFormat="1" applyBorder="1" applyAlignment="1">
      <alignment horizontal="center" vertical="center" wrapText="1"/>
    </xf>
  </cellXfs>
  <cellStyles count="226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" xfId="147" builtinId="8" hidden="1"/>
    <cellStyle name="Hiperlink" xfId="149" builtinId="8" hidden="1"/>
    <cellStyle name="Hiperlink" xfId="151" builtinId="8" hidden="1"/>
    <cellStyle name="Hiperlink" xfId="153" builtinId="8" hidden="1"/>
    <cellStyle name="Hiperlink" xfId="155" builtinId="8" hidden="1"/>
    <cellStyle name="Hiperlink" xfId="157" builtinId="8" hidden="1"/>
    <cellStyle name="Hiperlink" xfId="159" builtinId="8" hidden="1"/>
    <cellStyle name="Hiperlink" xfId="161" builtinId="8" hidden="1"/>
    <cellStyle name="Hiperlink" xfId="163" builtinId="8" hidden="1"/>
    <cellStyle name="Hiperlink" xfId="165" builtinId="8" hidden="1"/>
    <cellStyle name="Hiperlink" xfId="167" builtinId="8" hidden="1"/>
    <cellStyle name="Hiperlink" xfId="169" builtinId="8" hidden="1"/>
    <cellStyle name="Hiperlink" xfId="171" builtinId="8" hidden="1"/>
    <cellStyle name="Hiperlink" xfId="173" builtinId="8" hidden="1"/>
    <cellStyle name="Hiperlink" xfId="175" builtinId="8" hidden="1"/>
    <cellStyle name="Hiperlink" xfId="177" builtinId="8" hidden="1"/>
    <cellStyle name="Hiperlink" xfId="179" builtinId="8" hidden="1"/>
    <cellStyle name="Hiperlink" xfId="181" builtinId="8" hidden="1"/>
    <cellStyle name="Hiperlink" xfId="183" builtinId="8" hidden="1"/>
    <cellStyle name="Hiperlink" xfId="185" builtinId="8" hidden="1"/>
    <cellStyle name="Hiperlink" xfId="187" builtinId="8" hidden="1"/>
    <cellStyle name="Hiperlink" xfId="189" builtinId="8" hidden="1"/>
    <cellStyle name="Hiperlink" xfId="191" builtinId="8" hidden="1"/>
    <cellStyle name="Hiperlink" xfId="193" builtinId="8" hidden="1"/>
    <cellStyle name="Hiperlink" xfId="195" builtinId="8" hidden="1"/>
    <cellStyle name="Hiperlink" xfId="197" builtinId="8" hidden="1"/>
    <cellStyle name="Hiperlink" xfId="199" builtinId="8" hidden="1"/>
    <cellStyle name="Hiperlink" xfId="201" builtinId="8" hidden="1"/>
    <cellStyle name="Hiperlink" xfId="203" builtinId="8" hidden="1"/>
    <cellStyle name="Hiperlink" xfId="205" builtinId="8" hidden="1"/>
    <cellStyle name="Hiperlink" xfId="207" builtinId="8" hidden="1"/>
    <cellStyle name="Hiperlink" xfId="209" builtinId="8" hidden="1"/>
    <cellStyle name="Hiperlink" xfId="211" builtinId="8" hidden="1"/>
    <cellStyle name="Hiperlink" xfId="213" builtinId="8" hidden="1"/>
    <cellStyle name="Hiperlink" xfId="215" builtinId="8" hidden="1"/>
    <cellStyle name="Hiperlink" xfId="217" builtinId="8"/>
    <cellStyle name="Norm.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  <cellStyle name="Odwiedzone hiperłącze" xfId="52" builtinId="9" hidden="1"/>
    <cellStyle name="Odwiedzone hiperłącze" xfId="54" builtinId="9" hidden="1"/>
    <cellStyle name="Odwiedzone hiperłącze" xfId="56" builtinId="9" hidden="1"/>
    <cellStyle name="Odwiedzone hiperłącze" xfId="58" builtinId="9" hidden="1"/>
    <cellStyle name="Odwiedzone hiperłącze" xfId="60" builtinId="9" hidden="1"/>
    <cellStyle name="Odwiedzone hiperłącze" xfId="62" builtinId="9" hidden="1"/>
    <cellStyle name="Odwiedzone hiperłącze" xfId="64" builtinId="9" hidden="1"/>
    <cellStyle name="Odwiedzone hiperłącze" xfId="66" builtinId="9" hidden="1"/>
    <cellStyle name="Odwiedzone hiperłącze" xfId="68" builtinId="9" hidden="1"/>
    <cellStyle name="Odwiedzone hiperłącze" xfId="70" builtinId="9" hidden="1"/>
    <cellStyle name="Odwiedzone hiperłącze" xfId="72" builtinId="9" hidden="1"/>
    <cellStyle name="Odwiedzone hiperłącze" xfId="74" builtinId="9" hidden="1"/>
    <cellStyle name="Odwiedzone hiperłącze" xfId="76" builtinId="9" hidden="1"/>
    <cellStyle name="Odwiedzone hiperłącze" xfId="78" builtinId="9" hidden="1"/>
    <cellStyle name="Odwiedzone hiperłącze" xfId="80" builtinId="9" hidden="1"/>
    <cellStyle name="Odwiedzone hiperłącze" xfId="82" builtinId="9" hidden="1"/>
    <cellStyle name="Odwiedzone hiperłącze" xfId="84" builtinId="9" hidden="1"/>
    <cellStyle name="Odwiedzone hiperłącze" xfId="86" builtinId="9" hidden="1"/>
    <cellStyle name="Odwiedzone hiperłącze" xfId="88" builtinId="9" hidden="1"/>
    <cellStyle name="Odwiedzone hiperłącze" xfId="90" builtinId="9" hidden="1"/>
    <cellStyle name="Odwiedzone hiperłącze" xfId="92" builtinId="9" hidden="1"/>
    <cellStyle name="Odwiedzone hiperłącze" xfId="94" builtinId="9" hidden="1"/>
    <cellStyle name="Odwiedzone hiperłącze" xfId="96" builtinId="9" hidden="1"/>
    <cellStyle name="Odwiedzone hiperłącze" xfId="98" builtinId="9" hidden="1"/>
    <cellStyle name="Odwiedzone hiperłącze" xfId="100" builtinId="9" hidden="1"/>
    <cellStyle name="Odwiedzone hiperłącze" xfId="102" builtinId="9" hidden="1"/>
    <cellStyle name="Odwiedzone hiperłącze" xfId="104" builtinId="9" hidden="1"/>
    <cellStyle name="Odwiedzone hiperłącze" xfId="106" builtinId="9" hidden="1"/>
    <cellStyle name="Odwiedzone hiperłącze" xfId="108" builtinId="9" hidden="1"/>
    <cellStyle name="Odwiedzone hiperłącze" xfId="110" builtinId="9" hidden="1"/>
    <cellStyle name="Odwiedzone hiperłącze" xfId="112" builtinId="9" hidden="1"/>
    <cellStyle name="Odwiedzone hiperłącze" xfId="114" builtinId="9" hidden="1"/>
    <cellStyle name="Odwiedzone hiperłącze" xfId="116" builtinId="9" hidden="1"/>
    <cellStyle name="Odwiedzone hiperłącze" xfId="118" builtinId="9" hidden="1"/>
    <cellStyle name="Odwiedzone hiperłącze" xfId="120" builtinId="9" hidden="1"/>
    <cellStyle name="Odwiedzone hiperłącze" xfId="122" builtinId="9" hidden="1"/>
    <cellStyle name="Odwiedzone hiperłącze" xfId="124" builtinId="9" hidden="1"/>
    <cellStyle name="Odwiedzone hiperłącze" xfId="126" builtinId="9" hidden="1"/>
    <cellStyle name="Odwiedzone hiperłącze" xfId="128" builtinId="9" hidden="1"/>
    <cellStyle name="Odwiedzone hiperłącze" xfId="130" builtinId="9" hidden="1"/>
    <cellStyle name="Odwiedzone hiperłącze" xfId="132" builtinId="9" hidden="1"/>
    <cellStyle name="Odwiedzone hiperłącze" xfId="134" builtinId="9" hidden="1"/>
    <cellStyle name="Odwiedzone hiperłącze" xfId="136" builtinId="9" hidden="1"/>
    <cellStyle name="Odwiedzone hiperłącze" xfId="138" builtinId="9" hidden="1"/>
    <cellStyle name="Odwiedzone hiperłącze" xfId="140" builtinId="9" hidden="1"/>
    <cellStyle name="Odwiedzone hiperłącze" xfId="142" builtinId="9" hidden="1"/>
    <cellStyle name="Odwiedzone hiperłącze" xfId="144" builtinId="9" hidden="1"/>
    <cellStyle name="Odwiedzone hiperłącze" xfId="146" builtinId="9" hidden="1"/>
    <cellStyle name="Odwiedzone hiperłącze" xfId="148" builtinId="9" hidden="1"/>
    <cellStyle name="Odwiedzone hiperłącze" xfId="150" builtinId="9" hidden="1"/>
    <cellStyle name="Odwiedzone hiperłącze" xfId="152" builtinId="9" hidden="1"/>
    <cellStyle name="Odwiedzone hiperłącze" xfId="154" builtinId="9" hidden="1"/>
    <cellStyle name="Odwiedzone hiperłącze" xfId="156" builtinId="9" hidden="1"/>
    <cellStyle name="Odwiedzone hiperłącze" xfId="158" builtinId="9" hidden="1"/>
    <cellStyle name="Odwiedzone hiperłącze" xfId="160" builtinId="9" hidden="1"/>
    <cellStyle name="Odwiedzone hiperłącze" xfId="162" builtinId="9" hidden="1"/>
    <cellStyle name="Odwiedzone hiperłącze" xfId="164" builtinId="9" hidden="1"/>
    <cellStyle name="Odwiedzone hiperłącze" xfId="166" builtinId="9" hidden="1"/>
    <cellStyle name="Odwiedzone hiperłącze" xfId="168" builtinId="9" hidden="1"/>
    <cellStyle name="Odwiedzone hiperłącze" xfId="170" builtinId="9" hidden="1"/>
    <cellStyle name="Odwiedzone hiperłącze" xfId="172" builtinId="9" hidden="1"/>
    <cellStyle name="Odwiedzone hiperłącze" xfId="174" builtinId="9" hidden="1"/>
    <cellStyle name="Odwiedzone hiperłącze" xfId="176" builtinId="9" hidden="1"/>
    <cellStyle name="Odwiedzone hiperłącze" xfId="178" builtinId="9" hidden="1"/>
    <cellStyle name="Odwiedzone hiperłącze" xfId="180" builtinId="9" hidden="1"/>
    <cellStyle name="Odwiedzone hiperłącze" xfId="182" builtinId="9" hidden="1"/>
    <cellStyle name="Odwiedzone hiperłącze" xfId="184" builtinId="9" hidden="1"/>
    <cellStyle name="Odwiedzone hiperłącze" xfId="186" builtinId="9" hidden="1"/>
    <cellStyle name="Odwiedzone hiperłącze" xfId="188" builtinId="9" hidden="1"/>
    <cellStyle name="Odwiedzone hiperłącze" xfId="190" builtinId="9" hidden="1"/>
    <cellStyle name="Odwiedzone hiperłącze" xfId="192" builtinId="9" hidden="1"/>
    <cellStyle name="Odwiedzone hiperłącze" xfId="194" builtinId="9" hidden="1"/>
    <cellStyle name="Odwiedzone hiperłącze" xfId="196" builtinId="9" hidden="1"/>
    <cellStyle name="Odwiedzone hiperłącze" xfId="198" builtinId="9" hidden="1"/>
    <cellStyle name="Odwiedzone hiperłącze" xfId="200" builtinId="9" hidden="1"/>
    <cellStyle name="Odwiedzone hiperłącze" xfId="202" builtinId="9" hidden="1"/>
    <cellStyle name="Odwiedzone hiperłącze" xfId="204" builtinId="9" hidden="1"/>
    <cellStyle name="Odwiedzone hiperłącze" xfId="206" builtinId="9" hidden="1"/>
    <cellStyle name="Odwiedzone hiperłącze" xfId="208" builtinId="9" hidden="1"/>
    <cellStyle name="Odwiedzone hiperłącze" xfId="210" builtinId="9" hidden="1"/>
    <cellStyle name="Odwiedzone hiperłącze" xfId="212" builtinId="9" hidden="1"/>
    <cellStyle name="Odwiedzone hiperłącze" xfId="214" builtinId="9" hidden="1"/>
    <cellStyle name="Odwiedzone hiperłącze" xfId="216" builtinId="9" hidden="1"/>
    <cellStyle name="Odwiedzone hiperłącze" xfId="218" builtinId="9" hidden="1"/>
    <cellStyle name="Odwiedzone hiperłącze" xfId="219" builtinId="9" hidden="1"/>
    <cellStyle name="Odwiedzone hiperłącze" xfId="220" builtinId="9" hidden="1"/>
    <cellStyle name="Odwiedzone hiperłącze" xfId="221" builtinId="9" hidden="1"/>
    <cellStyle name="Odwiedzone hiperłącze" xfId="222" builtinId="9" hidden="1"/>
    <cellStyle name="Odwiedzone hiperłącze" xfId="223" builtinId="9" hidden="1"/>
    <cellStyle name="Odwiedzone hiperłącze" xfId="224" builtinId="9" hidden="1"/>
    <cellStyle name="Odwiedzone hiperłącze" xfId="225" builtinId="9" hidden="1"/>
    <cellStyle name="Procentowy" xfId="26" builtinId="5"/>
    <cellStyle name="Walutowy" xfId="1" builtinId="4"/>
  </cellStyles>
  <dxfs count="8399"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justifyLastLine="0" shrinkToFit="0"/>
    </dxf>
    <dxf>
      <numFmt numFmtId="13" formatCode="0%"/>
      <alignment horizontal="center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justifyLastLine="0" shrinkToFit="0"/>
    </dxf>
    <dxf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justifyLastLine="0" shrinkToFit="0"/>
    </dxf>
    <dxf>
      <numFmt numFmtId="13" formatCode="0%"/>
      <alignment horizontal="center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justifyLastLine="0" shrinkToFit="0"/>
    </dxf>
    <dxf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justifyLastLine="0" shrinkToFit="0"/>
    </dxf>
    <dxf>
      <numFmt numFmtId="13" formatCode="0%"/>
      <alignment horizontal="center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justifyLastLine="0" shrinkToFit="0"/>
    </dxf>
    <dxf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justifyLastLine="0" shrinkToFit="0"/>
    </dxf>
    <dxf>
      <numFmt numFmtId="13" formatCode="0%"/>
      <alignment horizontal="center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justifyLastLine="0" shrinkToFit="0"/>
    </dxf>
    <dxf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justifyLastLine="0" shrinkToFit="0"/>
    </dxf>
    <dxf>
      <numFmt numFmtId="13" formatCode="0%"/>
      <alignment horizontal="center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justifyLastLine="0" shrinkToFit="0"/>
    </dxf>
    <dxf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justifyLastLine="0" shrinkToFit="0"/>
    </dxf>
    <dxf>
      <numFmt numFmtId="13" formatCode="0%"/>
      <alignment horizontal="center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justifyLastLine="0" shrinkToFit="0"/>
    </dxf>
    <dxf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justifyLastLine="0" shrinkToFit="0"/>
    </dxf>
    <dxf>
      <numFmt numFmtId="13" formatCode="0%"/>
      <alignment horizontal="center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justifyLastLine="0" shrinkToFit="0"/>
    </dxf>
    <dxf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justifyLastLine="0" shrinkToFit="0"/>
    </dxf>
    <dxf>
      <numFmt numFmtId="13" formatCode="0%"/>
      <alignment horizontal="center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justifyLastLine="0" shrinkToFit="0"/>
    </dxf>
    <dxf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justifyLastLine="0" shrinkToFit="0"/>
    </dxf>
    <dxf>
      <numFmt numFmtId="13" formatCode="0%"/>
      <alignment horizontal="center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justifyLastLine="0" shrinkToFit="0"/>
    </dxf>
    <dxf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justifyLastLine="0" shrinkToFit="0"/>
    </dxf>
    <dxf>
      <numFmt numFmtId="13" formatCode="0%"/>
      <alignment horizontal="center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justifyLastLine="0" shrinkToFit="0"/>
    </dxf>
    <dxf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justifyLastLine="0" shrinkToFit="0"/>
    </dxf>
    <dxf>
      <numFmt numFmtId="13" formatCode="0%"/>
      <alignment horizontal="center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justifyLastLine="0" shrinkToFit="0"/>
    </dxf>
    <dxf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justifyLastLine="0" shrinkToFit="0"/>
    </dxf>
    <dxf>
      <numFmt numFmtId="13" formatCode="0%"/>
      <alignment horizontal="center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justifyLastLine="0" shrinkToFit="0"/>
    </dxf>
    <dxf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;[Red]\-#,##0.00\ &quot;zł&quot;"/>
      <fill>
        <patternFill patternType="none">
          <fgColor indexed="64"/>
          <bgColor auto="1"/>
        </patternFill>
      </fill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alignment horizontal="general" vertical="top" textRotation="0" wrapText="1" justifyLastLine="0" shrinkToFit="0"/>
    </dxf>
    <dxf>
      <numFmt numFmtId="13" formatCode="0%"/>
      <alignment horizontal="center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justifyLastLine="0" shrinkToFit="0"/>
    </dxf>
    <dxf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justifyLastLine="0" shrinkToFit="0"/>
    </dxf>
    <dxf>
      <numFmt numFmtId="30" formatCode="@"/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64" formatCode="#,##0.00\ &quot;zł&quot;;[Red]\-#,##0.00\ &quot;zł&quot;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4" formatCode="#,##0.00\ &quot;zł&quot;;[Red]\-#,##0.00\ &quot;zł&quot;"/>
      <fill>
        <patternFill patternType="none">
          <fgColor indexed="64"/>
          <bgColor auto="1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ill>
        <patternFill patternType="none">
          <fgColor indexed="64"/>
          <bgColor auto="1"/>
        </patternFill>
      </fill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numFmt numFmtId="30" formatCode="@"/>
      <fill>
        <patternFill patternType="solid">
          <fgColor indexed="64"/>
          <bgColor rgb="FFFFFF00"/>
        </patternFill>
      </fill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justifyLastLine="0" shrinkToFit="0"/>
    </dxf>
    <dxf>
      <numFmt numFmtId="13" formatCode="0%"/>
      <alignment horizontal="general" vertical="top" textRotation="0" wrapText="0" justifyLastLine="0" shrinkToFit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2" formatCode="#,##0.00\ &quot;zł&quot;_);[Red]\(#,##0.00\ &quot;zł&quot;\)"/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11.xml.rels><?xml version="1.0" encoding="UTF-8" standalone="yes"?>
<Relationships xmlns="http://schemas.openxmlformats.org/package/2006/relationships"><Relationship Id="rId1" Type="http://schemas.microsoft.com/office/2011/relationships/chartStyle" Target="style11.xml"/><Relationship Id="rId2" Type="http://schemas.microsoft.com/office/2011/relationships/chartColorStyle" Target="colors11.xml"/></Relationships>
</file>

<file path=xl/charts/_rels/chart12.xml.rels><?xml version="1.0" encoding="UTF-8" standalone="yes"?>
<Relationships xmlns="http://schemas.openxmlformats.org/package/2006/relationships"><Relationship Id="rId1" Type="http://schemas.microsoft.com/office/2011/relationships/chartStyle" Target="style12.xml"/><Relationship Id="rId2" Type="http://schemas.microsoft.com/office/2011/relationships/chartColorStyle" Target="colors12.xml"/></Relationships>
</file>

<file path=xl/charts/_rels/chart13.xml.rels><?xml version="1.0" encoding="UTF-8" standalone="yes"?>
<Relationships xmlns="http://schemas.openxmlformats.org/package/2006/relationships"><Relationship Id="rId1" Type="http://schemas.microsoft.com/office/2011/relationships/chartStyle" Target="style13.xml"/><Relationship Id="rId2" Type="http://schemas.microsoft.com/office/2011/relationships/chartColorStyle" Target="colors13.xml"/></Relationships>
</file>

<file path=xl/charts/_rels/chart14.xml.rels><?xml version="1.0" encoding="UTF-8" standalone="yes"?>
<Relationships xmlns="http://schemas.openxmlformats.org/package/2006/relationships"><Relationship Id="rId1" Type="http://schemas.microsoft.com/office/2011/relationships/chartStyle" Target="style14.xml"/><Relationship Id="rId2" Type="http://schemas.microsoft.com/office/2011/relationships/chartColorStyle" Target="colors14.xml"/></Relationships>
</file>

<file path=xl/charts/_rels/chart15.xml.rels><?xml version="1.0" encoding="UTF-8" standalone="yes"?>
<Relationships xmlns="http://schemas.openxmlformats.org/package/2006/relationships"><Relationship Id="rId1" Type="http://schemas.microsoft.com/office/2011/relationships/chartStyle" Target="style15.xml"/><Relationship Id="rId2" Type="http://schemas.microsoft.com/office/2011/relationships/chartColorStyle" Target="colors15.xml"/></Relationships>
</file>

<file path=xl/charts/_rels/chart16.xml.rels><?xml version="1.0" encoding="UTF-8" standalone="yes"?>
<Relationships xmlns="http://schemas.openxmlformats.org/package/2006/relationships"><Relationship Id="rId1" Type="http://schemas.microsoft.com/office/2011/relationships/chartStyle" Target="style16.xml"/><Relationship Id="rId2" Type="http://schemas.microsoft.com/office/2011/relationships/chartColorStyle" Target="colors16.xml"/></Relationships>
</file>

<file path=xl/charts/_rels/chart17.xml.rels><?xml version="1.0" encoding="UTF-8" standalone="yes"?>
<Relationships xmlns="http://schemas.openxmlformats.org/package/2006/relationships"><Relationship Id="rId1" Type="http://schemas.microsoft.com/office/2011/relationships/chartStyle" Target="style17.xml"/><Relationship Id="rId2" Type="http://schemas.microsoft.com/office/2011/relationships/chartColorStyle" Target="colors17.xml"/></Relationships>
</file>

<file path=xl/charts/_rels/chart18.xml.rels><?xml version="1.0" encoding="UTF-8" standalone="yes"?>
<Relationships xmlns="http://schemas.openxmlformats.org/package/2006/relationships"><Relationship Id="rId1" Type="http://schemas.microsoft.com/office/2011/relationships/chartStyle" Target="style18.xml"/><Relationship Id="rId2" Type="http://schemas.microsoft.com/office/2011/relationships/chartColorStyle" Target="colors18.xml"/></Relationships>
</file>

<file path=xl/charts/_rels/chart19.xml.rels><?xml version="1.0" encoding="UTF-8" standalone="yes"?>
<Relationships xmlns="http://schemas.openxmlformats.org/package/2006/relationships"><Relationship Id="rId1" Type="http://schemas.microsoft.com/office/2011/relationships/chartStyle" Target="style19.xml"/><Relationship Id="rId2" Type="http://schemas.microsoft.com/office/2011/relationships/chartColorStyle" Target="colors19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20.xml.rels><?xml version="1.0" encoding="UTF-8" standalone="yes"?>
<Relationships xmlns="http://schemas.openxmlformats.org/package/2006/relationships"><Relationship Id="rId1" Type="http://schemas.microsoft.com/office/2011/relationships/chartStyle" Target="style20.xml"/><Relationship Id="rId2" Type="http://schemas.microsoft.com/office/2011/relationships/chartColorStyle" Target="colors20.xml"/></Relationships>
</file>

<file path=xl/charts/_rels/chart21.xml.rels><?xml version="1.0" encoding="UTF-8" standalone="yes"?>
<Relationships xmlns="http://schemas.openxmlformats.org/package/2006/relationships"><Relationship Id="rId1" Type="http://schemas.microsoft.com/office/2011/relationships/chartStyle" Target="style21.xml"/><Relationship Id="rId2" Type="http://schemas.microsoft.com/office/2011/relationships/chartColorStyle" Target="colors21.xml"/></Relationships>
</file>

<file path=xl/charts/_rels/chart22.xml.rels><?xml version="1.0" encoding="UTF-8" standalone="yes"?>
<Relationships xmlns="http://schemas.openxmlformats.org/package/2006/relationships"><Relationship Id="rId1" Type="http://schemas.microsoft.com/office/2011/relationships/chartStyle" Target="style22.xml"/><Relationship Id="rId2" Type="http://schemas.microsoft.com/office/2011/relationships/chartColorStyle" Target="colors22.xml"/></Relationships>
</file>

<file path=xl/charts/_rels/chart23.xml.rels><?xml version="1.0" encoding="UTF-8" standalone="yes"?>
<Relationships xmlns="http://schemas.openxmlformats.org/package/2006/relationships"><Relationship Id="rId1" Type="http://schemas.microsoft.com/office/2011/relationships/chartStyle" Target="style23.xml"/><Relationship Id="rId2" Type="http://schemas.microsoft.com/office/2011/relationships/chartColorStyle" Target="colors23.xml"/></Relationships>
</file>

<file path=xl/charts/_rels/chart24.xml.rels><?xml version="1.0" encoding="UTF-8" standalone="yes"?>
<Relationships xmlns="http://schemas.openxmlformats.org/package/2006/relationships"><Relationship Id="rId1" Type="http://schemas.microsoft.com/office/2011/relationships/chartStyle" Target="style24.xml"/><Relationship Id="rId2" Type="http://schemas.microsoft.com/office/2011/relationships/chartColorStyle" Target="colors24.xml"/></Relationships>
</file>

<file path=xl/charts/_rels/chart25.xml.rels><?xml version="1.0" encoding="UTF-8" standalone="yes"?>
<Relationships xmlns="http://schemas.openxmlformats.org/package/2006/relationships"><Relationship Id="rId1" Type="http://schemas.microsoft.com/office/2011/relationships/chartStyle" Target="style25.xml"/><Relationship Id="rId2" Type="http://schemas.microsoft.com/office/2011/relationships/chartColorStyle" Target="colors25.xml"/></Relationships>
</file>

<file path=xl/charts/_rels/chart26.xml.rels><?xml version="1.0" encoding="UTF-8" standalone="yes"?>
<Relationships xmlns="http://schemas.openxmlformats.org/package/2006/relationships"><Relationship Id="rId1" Type="http://schemas.microsoft.com/office/2011/relationships/chartStyle" Target="style26.xml"/><Relationship Id="rId2" Type="http://schemas.microsoft.com/office/2011/relationships/chartColorStyle" Target="colors26.xml"/></Relationships>
</file>

<file path=xl/charts/_rels/chart27.xml.rels><?xml version="1.0" encoding="UTF-8" standalone="yes"?>
<Relationships xmlns="http://schemas.openxmlformats.org/package/2006/relationships"><Relationship Id="rId1" Type="http://schemas.microsoft.com/office/2011/relationships/chartStyle" Target="style27.xml"/><Relationship Id="rId2" Type="http://schemas.microsoft.com/office/2011/relationships/chartColorStyle" Target="colors27.xml"/></Relationships>
</file>

<file path=xl/charts/_rels/chart28.xml.rels><?xml version="1.0" encoding="UTF-8" standalone="yes"?>
<Relationships xmlns="http://schemas.openxmlformats.org/package/2006/relationships"><Relationship Id="rId1" Type="http://schemas.microsoft.com/office/2011/relationships/chartStyle" Target="style28.xml"/><Relationship Id="rId2" Type="http://schemas.microsoft.com/office/2011/relationships/chartColorStyle" Target="colors28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PRZYKŁAD!$B$27:$B$38</c:f>
              <c:strCache>
                <c:ptCount val="12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Oszczędności</c:v>
                </c:pt>
              </c:strCache>
            </c:strRef>
          </c:cat>
          <c:val>
            <c:numRef>
              <c:f>PRZYKŁAD!$C$27:$C$38</c:f>
              <c:numCache>
                <c:formatCode>#,##0.00\ "zł";[Red]\-#,##0.00\ "zł"</c:formatCode>
                <c:ptCount val="12"/>
                <c:pt idx="0">
                  <c:v>585.0</c:v>
                </c:pt>
                <c:pt idx="1">
                  <c:v>560.0</c:v>
                </c:pt>
                <c:pt idx="2">
                  <c:v>760.0</c:v>
                </c:pt>
                <c:pt idx="3">
                  <c:v>30.0</c:v>
                </c:pt>
                <c:pt idx="4">
                  <c:v>10.0</c:v>
                </c:pt>
                <c:pt idx="5">
                  <c:v>85.0</c:v>
                </c:pt>
                <c:pt idx="6">
                  <c:v>25.0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PRZYKŁAD!$B$27:$B$38</c:f>
              <c:strCache>
                <c:ptCount val="12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Oszczędności</c:v>
                </c:pt>
              </c:strCache>
            </c:strRef>
          </c:cat>
          <c:val>
            <c:numRef>
              <c:f>PRZYKŁAD!$D$27:$D$38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'2017.03'!$C$16:$D$16</c15:sqref>
                  </c15:fullRef>
                </c:ext>
              </c:extLst>
              <c:f>'2017.03'!$D$16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'2017.03'!$C$17:$D$17</c15:sqref>
                  </c15:fullRef>
                </c:ext>
              </c:extLst>
              <c:f>'2017.03'!$D$17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86508640"/>
        <c:axId val="986512640"/>
      </c:barChart>
      <c:catAx>
        <c:axId val="986508640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986512640"/>
        <c:crosses val="autoZero"/>
        <c:auto val="0"/>
        <c:lblAlgn val="ctr"/>
        <c:lblOffset val="100"/>
        <c:noMultiLvlLbl val="0"/>
      </c:catAx>
      <c:valAx>
        <c:axId val="9865126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86508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'2017.04'!$B$27:$B$41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'2017.04'!$C$27:$C$41</c:f>
              <c:numCache>
                <c:formatCode>#,##0.00\ "zł";[Red]\-#,##0.00\ "zł"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'2017.04'!$B$27:$B$41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'2017.04'!$D$27:$D$41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'2017.04'!$C$16:$D$16</c15:sqref>
                  </c15:fullRef>
                </c:ext>
              </c:extLst>
              <c:f>'2017.04'!$D$16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'2017.04'!$C$17:$D$17</c15:sqref>
                  </c15:fullRef>
                </c:ext>
              </c:extLst>
              <c:f>'2017.04'!$D$17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87409824"/>
        <c:axId val="987413824"/>
      </c:barChart>
      <c:catAx>
        <c:axId val="987409824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987413824"/>
        <c:crosses val="autoZero"/>
        <c:auto val="0"/>
        <c:lblAlgn val="ctr"/>
        <c:lblOffset val="100"/>
        <c:noMultiLvlLbl val="0"/>
      </c:catAx>
      <c:valAx>
        <c:axId val="9874138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8740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'2017.05'!$B$27:$B$41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'2017.05'!$C$27:$C$41</c:f>
              <c:numCache>
                <c:formatCode>#,##0.00\ "zł";[Red]\-#,##0.00\ "zł"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'2017.05'!$B$27:$B$41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'2017.05'!$D$27:$D$41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'2017.05'!$C$16:$D$16</c15:sqref>
                  </c15:fullRef>
                </c:ext>
              </c:extLst>
              <c:f>'2017.05'!$D$16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'2017.05'!$C$17:$D$17</c15:sqref>
                  </c15:fullRef>
                </c:ext>
              </c:extLst>
              <c:f>'2017.05'!$D$17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79075856"/>
        <c:axId val="979079856"/>
      </c:barChart>
      <c:catAx>
        <c:axId val="979075856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979079856"/>
        <c:crosses val="autoZero"/>
        <c:auto val="0"/>
        <c:lblAlgn val="ctr"/>
        <c:lblOffset val="100"/>
        <c:noMultiLvlLbl val="0"/>
      </c:catAx>
      <c:valAx>
        <c:axId val="979079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79075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'2017.06'!$B$27:$B$41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'2017.06'!$C$27:$C$41</c:f>
              <c:numCache>
                <c:formatCode>#,##0.00\ "zł";[Red]\-#,##0.00\ "zł"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'2017.06'!$B$27:$B$41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'2017.06'!$D$27:$D$41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'2017.06'!$C$16:$D$16</c15:sqref>
                  </c15:fullRef>
                </c:ext>
              </c:extLst>
              <c:f>'2017.06'!$D$16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'2017.06'!$C$17:$D$17</c15:sqref>
                  </c15:fullRef>
                </c:ext>
              </c:extLst>
              <c:f>'2017.06'!$D$17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88193728"/>
        <c:axId val="988197728"/>
      </c:barChart>
      <c:catAx>
        <c:axId val="988193728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988197728"/>
        <c:crosses val="autoZero"/>
        <c:auto val="0"/>
        <c:lblAlgn val="ctr"/>
        <c:lblOffset val="100"/>
        <c:noMultiLvlLbl val="0"/>
      </c:catAx>
      <c:valAx>
        <c:axId val="9881977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88193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'2017.07'!$B$27:$B$41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'2017.07'!$C$27:$C$41</c:f>
              <c:numCache>
                <c:formatCode>#,##0.00\ "zł";[Red]\-#,##0.00\ "zł"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'2017.07'!$B$27:$B$41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'2017.07'!$D$27:$D$41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'2017.07'!$C$16:$D$16</c15:sqref>
                  </c15:fullRef>
                </c:ext>
              </c:extLst>
              <c:f>'2017.07'!$D$16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'2017.07'!$C$17:$D$17</c15:sqref>
                  </c15:fullRef>
                </c:ext>
              </c:extLst>
              <c:f>'2017.07'!$D$17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98561168"/>
        <c:axId val="998565168"/>
      </c:barChart>
      <c:catAx>
        <c:axId val="998561168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998565168"/>
        <c:crosses val="autoZero"/>
        <c:auto val="0"/>
        <c:lblAlgn val="ctr"/>
        <c:lblOffset val="100"/>
        <c:noMultiLvlLbl val="0"/>
      </c:catAx>
      <c:valAx>
        <c:axId val="9985651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9856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'2017.08'!$B$27:$B$41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'2017.08'!$C$27:$C$41</c:f>
              <c:numCache>
                <c:formatCode>#,##0.00\ "zł";[Red]\-#,##0.00\ "zł"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'2017.08'!$B$27:$B$41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'2017.08'!$D$27:$D$41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PRZYKŁAD!$C$16:$D$16</c15:sqref>
                  </c15:fullRef>
                </c:ext>
              </c:extLst>
              <c:f>PRZYKŁAD!$D$16</c:f>
              <c:numCache>
                <c:formatCode>#,##0.00\ "zł";[Red]\-#,##0.00\ "zł"</c:formatCode>
                <c:ptCount val="1"/>
                <c:pt idx="0">
                  <c:v>7772.0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PRZYKŁAD!$C$17:$D$17</c15:sqref>
                  </c15:fullRef>
                </c:ext>
              </c:extLst>
              <c:f>PRZYKŁAD!$D$17</c:f>
              <c:numCache>
                <c:formatCode>#,##0.00\ "zł";[Red]\-#,##0.00\ "zł"</c:formatCode>
                <c:ptCount val="1"/>
                <c:pt idx="0">
                  <c:v>2055.0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75096928"/>
        <c:axId val="975100928"/>
      </c:barChart>
      <c:catAx>
        <c:axId val="975096928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975100928"/>
        <c:crosses val="autoZero"/>
        <c:auto val="0"/>
        <c:lblAlgn val="ctr"/>
        <c:lblOffset val="100"/>
        <c:noMultiLvlLbl val="0"/>
      </c:catAx>
      <c:valAx>
        <c:axId val="9751009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75096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'2017.08'!$C$16:$D$16</c15:sqref>
                  </c15:fullRef>
                </c:ext>
              </c:extLst>
              <c:f>'2017.08'!$D$16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'2017.08'!$C$17:$D$17</c15:sqref>
                  </c15:fullRef>
                </c:ext>
              </c:extLst>
              <c:f>'2017.08'!$D$17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99462544"/>
        <c:axId val="999466544"/>
      </c:barChart>
      <c:catAx>
        <c:axId val="999462544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999466544"/>
        <c:crosses val="autoZero"/>
        <c:auto val="0"/>
        <c:lblAlgn val="ctr"/>
        <c:lblOffset val="100"/>
        <c:noMultiLvlLbl val="0"/>
      </c:catAx>
      <c:valAx>
        <c:axId val="9994665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9946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'2017.09'!$B$27:$B$41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'2017.09'!$C$27:$C$41</c:f>
              <c:numCache>
                <c:formatCode>#,##0.00\ "zł";[Red]\-#,##0.00\ "zł"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'2017.09'!$B$27:$B$41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'2017.09'!$D$27:$D$41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'2017.09'!$C$16:$D$16</c15:sqref>
                  </c15:fullRef>
                </c:ext>
              </c:extLst>
              <c:f>'2017.09'!$D$16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'2017.09'!$C$17:$D$17</c15:sqref>
                  </c15:fullRef>
                </c:ext>
              </c:extLst>
              <c:f>'2017.09'!$D$17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00356160"/>
        <c:axId val="1000360160"/>
      </c:barChart>
      <c:catAx>
        <c:axId val="1000356160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000360160"/>
        <c:crosses val="autoZero"/>
        <c:auto val="0"/>
        <c:lblAlgn val="ctr"/>
        <c:lblOffset val="100"/>
        <c:noMultiLvlLbl val="0"/>
      </c:catAx>
      <c:valAx>
        <c:axId val="100036016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00035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'2017.10'!$B$27:$B$41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'2017.10'!$C$27:$C$41</c:f>
              <c:numCache>
                <c:formatCode>#,##0.00\ "zł";[Red]\-#,##0.00\ "zł"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'2017.10'!$B$27:$B$41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'2017.10'!$D$27:$D$41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'2017.10'!$C$16:$D$16</c15:sqref>
                  </c15:fullRef>
                </c:ext>
              </c:extLst>
              <c:f>'2017.10'!$D$16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'2017.10'!$C$17:$D$17</c15:sqref>
                  </c15:fullRef>
                </c:ext>
              </c:extLst>
              <c:f>'2017.10'!$D$17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01241104"/>
        <c:axId val="1001245104"/>
      </c:barChart>
      <c:catAx>
        <c:axId val="1001241104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001245104"/>
        <c:crosses val="autoZero"/>
        <c:auto val="0"/>
        <c:lblAlgn val="ctr"/>
        <c:lblOffset val="100"/>
        <c:noMultiLvlLbl val="0"/>
      </c:catAx>
      <c:valAx>
        <c:axId val="10012451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00124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'2017.11'!$B$27:$B$41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'2017.11'!$C$27:$C$41</c:f>
              <c:numCache>
                <c:formatCode>#,##0.00\ "zł";[Red]\-#,##0.00\ "zł"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'2017.11'!$B$27:$B$41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'2017.11'!$D$27:$D$41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'2017.11'!$C$16:$D$16</c15:sqref>
                  </c15:fullRef>
                </c:ext>
              </c:extLst>
              <c:f>'2017.11'!$D$16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'2017.11'!$C$17:$D$17</c15:sqref>
                  </c15:fullRef>
                </c:ext>
              </c:extLst>
              <c:f>'2017.11'!$D$17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02143072"/>
        <c:axId val="1002147072"/>
      </c:barChart>
      <c:catAx>
        <c:axId val="1002143072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002147072"/>
        <c:crosses val="autoZero"/>
        <c:auto val="0"/>
        <c:lblAlgn val="ctr"/>
        <c:lblOffset val="100"/>
        <c:noMultiLvlLbl val="0"/>
      </c:catAx>
      <c:valAx>
        <c:axId val="10021470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002143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'2017.12'!$B$27:$B$41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'2017.12'!$C$27:$C$41</c:f>
              <c:numCache>
                <c:formatCode>#,##0.00\ "zł";[Red]\-#,##0.00\ "zł"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'2017.12'!$B$27:$B$41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'2017.12'!$D$27:$D$41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'2017.12'!$C$16:$D$16</c15:sqref>
                  </c15:fullRef>
                </c:ext>
              </c:extLst>
              <c:f>'2017.12'!$D$16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'2017.12'!$C$17:$D$17</c15:sqref>
                  </c15:fullRef>
                </c:ext>
              </c:extLst>
              <c:f>'2017.12'!$D$17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002785504"/>
        <c:axId val="1002789504"/>
      </c:barChart>
      <c:catAx>
        <c:axId val="1002785504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002789504"/>
        <c:crosses val="autoZero"/>
        <c:auto val="0"/>
        <c:lblAlgn val="ctr"/>
        <c:lblOffset val="100"/>
        <c:noMultiLvlLbl val="0"/>
      </c:catAx>
      <c:valAx>
        <c:axId val="10027895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002785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'CAŁY ROK 2017'!$B$27:$B$41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'CAŁY ROK 2017'!$C$27:$C$41</c:f>
              <c:numCache>
                <c:formatCode>#,##0.00\ "zł";[Red]\-#,##0.00\ "zł"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'CAŁY ROK 2017'!$B$27:$B$41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'CAŁY ROK 2017'!$D$27:$D$41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'CAŁY ROK 2017'!$C$16:$D$16</c15:sqref>
                  </c15:fullRef>
                </c:ext>
              </c:extLst>
              <c:f>'CAŁY ROK 2017'!$D$16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'CAŁY ROK 2017'!$C$17:$D$17</c15:sqref>
                  </c15:fullRef>
                </c:ext>
              </c:extLst>
              <c:f>'CAŁY ROK 2017'!$D$17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84009168"/>
        <c:axId val="984013168"/>
      </c:barChart>
      <c:catAx>
        <c:axId val="984009168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984013168"/>
        <c:crosses val="autoZero"/>
        <c:auto val="0"/>
        <c:lblAlgn val="ctr"/>
        <c:lblOffset val="100"/>
        <c:noMultiLvlLbl val="0"/>
      </c:catAx>
      <c:valAx>
        <c:axId val="9840131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84009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'2017.01'!$B$27:$B$41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'2017.01'!$C$27:$C$41</c:f>
              <c:numCache>
                <c:formatCode>#,##0.00\ "zł";[Red]\-#,##0.00\ "zł"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'2017.01'!$B$27:$B$41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'2017.01'!$D$27:$D$41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'2017.01'!$C$16:$D$16</c15:sqref>
                  </c15:fullRef>
                </c:ext>
              </c:extLst>
              <c:f>'2017.01'!$D$16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'2017.01'!$C$17:$D$17</c15:sqref>
                  </c15:fullRef>
                </c:ext>
              </c:extLst>
              <c:f>'2017.01'!$D$17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84752960"/>
        <c:axId val="984756960"/>
      </c:barChart>
      <c:catAx>
        <c:axId val="984752960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984756960"/>
        <c:crosses val="autoZero"/>
        <c:auto val="0"/>
        <c:lblAlgn val="ctr"/>
        <c:lblOffset val="100"/>
        <c:noMultiLvlLbl val="0"/>
      </c:catAx>
      <c:valAx>
        <c:axId val="98475696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84752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'2017.02'!$B$27:$B$41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'2017.02'!$C$27:$C$41</c:f>
              <c:numCache>
                <c:formatCode>#,##0.00\ "zł";[Red]\-#,##0.00\ "zł"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'2017.02'!$B$27:$B$41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'2017.02'!$D$27:$D$41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'2017.02'!$C$16:$D$16</c15:sqref>
                  </c15:fullRef>
                </c:ext>
              </c:extLst>
              <c:f>'2017.02'!$D$16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'2017.02'!$C$17:$D$17</c15:sqref>
                  </c15:fullRef>
                </c:ext>
              </c:extLst>
              <c:f>'2017.02'!$D$17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85621776"/>
        <c:axId val="985625776"/>
      </c:barChart>
      <c:catAx>
        <c:axId val="985621776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985625776"/>
        <c:crosses val="autoZero"/>
        <c:auto val="0"/>
        <c:lblAlgn val="ctr"/>
        <c:lblOffset val="100"/>
        <c:noMultiLvlLbl val="0"/>
      </c:catAx>
      <c:valAx>
        <c:axId val="9856257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8562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'2017.03'!$B$27:$B$41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'2017.03'!$C$27:$C$41</c:f>
              <c:numCache>
                <c:formatCode>#,##0.00\ "zł";[Red]\-#,##0.00\ "zł"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'2017.03'!$B$27:$B$41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'2017.03'!$D$27:$D$41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Relationship Id="rId2" Type="http://schemas.openxmlformats.org/officeDocument/2006/relationships/chart" Target="../charts/chart2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Relationship Id="rId2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Relationship Id="rId2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39</xdr:row>
      <xdr:rowOff>129465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42</xdr:row>
      <xdr:rowOff>129465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42</xdr:row>
      <xdr:rowOff>129465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42</xdr:row>
      <xdr:rowOff>129465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42</xdr:row>
      <xdr:rowOff>129465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42</xdr:row>
      <xdr:rowOff>129465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42</xdr:row>
      <xdr:rowOff>129465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42</xdr:row>
      <xdr:rowOff>129465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42</xdr:row>
      <xdr:rowOff>129465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42</xdr:row>
      <xdr:rowOff>129465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42</xdr:row>
      <xdr:rowOff>129465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42</xdr:row>
      <xdr:rowOff>129465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42</xdr:row>
      <xdr:rowOff>129465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42</xdr:row>
      <xdr:rowOff>129465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5" name="Jedzenie" displayName="Jedzenie" ref="B63:G67" headerRowCount="0" totalsRowShown="0" headerRowDxfId="8398" dataDxfId="8397">
  <tableColumns count="6">
    <tableColumn id="1" name="Kategoria" dataDxfId="8396"/>
    <tableColumn id="2" name="0" headerRowDxfId="8395" dataDxfId="8394"/>
    <tableColumn id="3" name="02" headerRowDxfId="8393" dataDxfId="8392"/>
    <tableColumn id="4" name="Kolumna4" dataDxfId="8391">
      <calculatedColumnFormula>C63-D63</calculatedColumnFormula>
    </tableColumn>
    <tableColumn id="5" name="Kolumna1" dataDxfId="8390">
      <calculatedColumnFormula>IFERROR(D63/C63,"")</calculatedColumnFormula>
    </tableColumn>
    <tableColumn id="6" name="Kolumna2" dataDxfId="8389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2" name="Tabela12" displayName="Tabela12" ref="B119:G124" headerRowCount="0" totalsRowShown="0">
  <tableColumns count="6">
    <tableColumn id="1" name="Kolumna1" dataDxfId="8303"/>
    <tableColumn id="2" name="Kolumna2" dataDxfId="8302"/>
    <tableColumn id="3" name="Kolumna3" dataDxfId="8301">
      <calculatedColumnFormula>SUM(Tabela25[#This Row])</calculatedColumnFormula>
    </tableColumn>
    <tableColumn id="4" name="Kolumna4" dataDxfId="8300">
      <calculatedColumnFormula>C119-D119</calculatedColumnFormula>
    </tableColumn>
    <tableColumn id="5" name="Kolumna5" dataDxfId="8299">
      <calculatedColumnFormula>IFERROR(D119/C119,"")</calculatedColumnFormula>
    </tableColumn>
    <tableColumn id="6" name="Kolumna6"/>
  </tableColumns>
  <tableStyleInfo name="TableStyleLight9" showFirstColumn="0" showLastColumn="0" showRowStripes="1" showColumnStripes="0"/>
</table>
</file>

<file path=xl/tables/table100.xml><?xml version="1.0" encoding="utf-8"?>
<table xmlns="http://schemas.openxmlformats.org/spreadsheetml/2006/main" id="74" name="Tabela133775" displayName="Tabela133775" ref="B170:G179" headerRowCount="0" totalsRowShown="0">
  <tableColumns count="6">
    <tableColumn id="1" name="Kolumna1" dataDxfId="7005">
      <calculatedColumnFormula>'Wzorzec kategorii'!B132</calculatedColumnFormula>
    </tableColumn>
    <tableColumn id="2" name="Kolumna2" dataDxfId="7004"/>
    <tableColumn id="3" name="Kolumna3" dataDxfId="7003">
      <calculatedColumnFormula>SUM(Tabela264987[#This Row])</calculatedColumnFormula>
    </tableColumn>
    <tableColumn id="4" name="Kolumna4" dataDxfId="7002">
      <calculatedColumnFormula>C170-D170</calculatedColumnFormula>
    </tableColumn>
    <tableColumn id="5" name="Kolumna5" dataDxfId="7001">
      <calculatedColumnFormula>IFERROR(D170/C170,"")</calculatedColumnFormula>
    </tableColumn>
    <tableColumn id="6" name="Kolumna6" dataDxfId="7000"/>
  </tableColumns>
  <tableStyleInfo name="TableStyleLight9" showFirstColumn="0" showLastColumn="0" showRowStripes="1" showColumnStripes="0"/>
</table>
</file>

<file path=xl/tables/table101.xml><?xml version="1.0" encoding="utf-8"?>
<table xmlns="http://schemas.openxmlformats.org/spreadsheetml/2006/main" id="75" name="Tabela143876" displayName="Tabela143876" ref="B182:G191" headerRowCount="0" totalsRowShown="0">
  <tableColumns count="6">
    <tableColumn id="1" name="Kolumna1" dataDxfId="6999">
      <calculatedColumnFormula>'Wzorzec kategorii'!B144</calculatedColumnFormula>
    </tableColumn>
    <tableColumn id="2" name="Kolumna2" dataDxfId="6998"/>
    <tableColumn id="3" name="Kolumna3" dataDxfId="6997">
      <calculatedColumnFormula>SUM(Tabela275088[#This Row])</calculatedColumnFormula>
    </tableColumn>
    <tableColumn id="4" name="Kolumna4" dataDxfId="6996">
      <calculatedColumnFormula>C182-D182</calculatedColumnFormula>
    </tableColumn>
    <tableColumn id="5" name="Kolumna5" dataDxfId="6995">
      <calculatedColumnFormula>IFERROR(D182/C182,"")</calculatedColumnFormula>
    </tableColumn>
    <tableColumn id="6" name="Kolumna6" dataDxfId="6994"/>
  </tableColumns>
  <tableStyleInfo name="TableStyleLight9" showFirstColumn="0" showLastColumn="0" showRowStripes="1" showColumnStripes="0"/>
</table>
</file>

<file path=xl/tables/table102.xml><?xml version="1.0" encoding="utf-8"?>
<table xmlns="http://schemas.openxmlformats.org/spreadsheetml/2006/main" id="76" name="Tabela153977" displayName="Tabela153977" ref="B194:G203" headerRowCount="0" totalsRowShown="0">
  <tableColumns count="6">
    <tableColumn id="1" name="Kolumna1" dataDxfId="6993">
      <calculatedColumnFormula>'Wzorzec kategorii'!B156</calculatedColumnFormula>
    </tableColumn>
    <tableColumn id="2" name="Kolumna2" dataDxfId="6992"/>
    <tableColumn id="3" name="Kolumna3" dataDxfId="6991">
      <calculatedColumnFormula>SUM(Tabela285189[#This Row])</calculatedColumnFormula>
    </tableColumn>
    <tableColumn id="4" name="Kolumna4" dataDxfId="6990">
      <calculatedColumnFormula>C194-D194</calculatedColumnFormula>
    </tableColumn>
    <tableColumn id="5" name="Kolumna5" dataDxfId="6989">
      <calculatedColumnFormula>IFERROR(D194/C194,"")</calculatedColumnFormula>
    </tableColumn>
    <tableColumn id="6" name="Kolumna6" dataDxfId="6988"/>
  </tableColumns>
  <tableStyleInfo name="TableStyleLight9" showFirstColumn="0" showLastColumn="0" showRowStripes="1" showColumnStripes="0"/>
</table>
</file>

<file path=xl/tables/table103.xml><?xml version="1.0" encoding="utf-8"?>
<table xmlns="http://schemas.openxmlformats.org/spreadsheetml/2006/main" id="77" name="Tabela164078" displayName="Tabela164078" ref="B206:G215" headerRowCount="0" totalsRowShown="0">
  <tableColumns count="6">
    <tableColumn id="1" name="Kolumna1" dataDxfId="6987">
      <calculatedColumnFormula>'Wzorzec kategorii'!B168</calculatedColumnFormula>
    </tableColumn>
    <tableColumn id="2" name="Kolumna2" dataDxfId="6986"/>
    <tableColumn id="3" name="Kolumna3" dataDxfId="6985">
      <calculatedColumnFormula>SUM(Tabela19234583[#This Row])</calculatedColumnFormula>
    </tableColumn>
    <tableColumn id="4" name="Kolumna4" dataDxfId="6984">
      <calculatedColumnFormula>C206-D206</calculatedColumnFormula>
    </tableColumn>
    <tableColumn id="5" name="Kolumna5" dataDxfId="6983">
      <calculatedColumnFormula>IFERROR(D206/C206,"")</calculatedColumnFormula>
    </tableColumn>
    <tableColumn id="6" name="Kolumna6" dataDxfId="6982"/>
  </tableColumns>
  <tableStyleInfo name="TableStyleLight9" showFirstColumn="0" showLastColumn="0" showRowStripes="1" showColumnStripes="0"/>
</table>
</file>

<file path=xl/tables/table104.xml><?xml version="1.0" encoding="utf-8"?>
<table xmlns="http://schemas.openxmlformats.org/spreadsheetml/2006/main" id="78" name="Tabela184179" displayName="Tabela184179" ref="I85:AM95" totalsRowShown="0" headerRowDxfId="6981" dataDxfId="6979" headerRowBorderDxfId="6980">
  <autoFilter ref="I85:AM9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978"/>
    <tableColumn id="2" name="2" dataDxfId="6977"/>
    <tableColumn id="3" name="3" dataDxfId="6976"/>
    <tableColumn id="4" name="4" dataDxfId="6975"/>
    <tableColumn id="5" name="5" dataDxfId="6974"/>
    <tableColumn id="6" name="6" dataDxfId="6973"/>
    <tableColumn id="7" name="7" dataDxfId="6972"/>
    <tableColumn id="8" name="8" dataDxfId="6971"/>
    <tableColumn id="9" name="9" dataDxfId="6970"/>
    <tableColumn id="10" name="10" dataDxfId="6969"/>
    <tableColumn id="11" name="11" dataDxfId="6968"/>
    <tableColumn id="12" name="12" dataDxfId="6967"/>
    <tableColumn id="13" name="13" dataDxfId="6966"/>
    <tableColumn id="14" name="14" dataDxfId="6965"/>
    <tableColumn id="15" name="15" dataDxfId="6964"/>
    <tableColumn id="16" name="16" dataDxfId="6963"/>
    <tableColumn id="17" name="17" dataDxfId="6962"/>
    <tableColumn id="18" name="18" dataDxfId="6961"/>
    <tableColumn id="19" name="19" dataDxfId="6960"/>
    <tableColumn id="20" name="20" dataDxfId="6959"/>
    <tableColumn id="21" name="21" dataDxfId="6958"/>
    <tableColumn id="22" name="22" dataDxfId="6957"/>
    <tableColumn id="23" name="23" dataDxfId="6956"/>
    <tableColumn id="24" name="24" dataDxfId="6955"/>
    <tableColumn id="25" name="25" dataDxfId="6954"/>
    <tableColumn id="26" name="26" dataDxfId="6953"/>
    <tableColumn id="27" name="27" dataDxfId="6952"/>
    <tableColumn id="28" name="28" dataDxfId="6951"/>
    <tableColumn id="29" name="29" dataDxfId="6950"/>
    <tableColumn id="30" name="30" dataDxfId="6949"/>
    <tableColumn id="31" name="31" dataDxfId="6948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id="79" name="Tabela194280" displayName="Tabela194280" ref="I97:AM107" totalsRowShown="0" headerRowDxfId="6947" dataDxfId="6945" headerRowBorderDxfId="6946">
  <autoFilter ref="I97:AM10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944"/>
    <tableColumn id="2" name="2" dataDxfId="6943"/>
    <tableColumn id="3" name="3" dataDxfId="6942"/>
    <tableColumn id="4" name="4" dataDxfId="6941"/>
    <tableColumn id="5" name="5" dataDxfId="6940"/>
    <tableColumn id="6" name="6" dataDxfId="6939"/>
    <tableColumn id="7" name="7" dataDxfId="6938"/>
    <tableColumn id="8" name="8" dataDxfId="6937"/>
    <tableColumn id="9" name="9" dataDxfId="6936"/>
    <tableColumn id="10" name="10" dataDxfId="6935"/>
    <tableColumn id="11" name="11" dataDxfId="6934"/>
    <tableColumn id="12" name="12" dataDxfId="6933"/>
    <tableColumn id="13" name="13" dataDxfId="6932"/>
    <tableColumn id="14" name="14" dataDxfId="6931"/>
    <tableColumn id="15" name="15" dataDxfId="6930"/>
    <tableColumn id="16" name="16" dataDxfId="6929"/>
    <tableColumn id="17" name="17" dataDxfId="6928"/>
    <tableColumn id="18" name="18" dataDxfId="6927"/>
    <tableColumn id="19" name="19" dataDxfId="6926"/>
    <tableColumn id="20" name="20" dataDxfId="6925"/>
    <tableColumn id="21" name="21" dataDxfId="6924"/>
    <tableColumn id="22" name="22" dataDxfId="6923"/>
    <tableColumn id="23" name="23" dataDxfId="6922"/>
    <tableColumn id="24" name="24" dataDxfId="6921"/>
    <tableColumn id="25" name="25" dataDxfId="6920"/>
    <tableColumn id="26" name="26" dataDxfId="6919"/>
    <tableColumn id="27" name="27" dataDxfId="6918"/>
    <tableColumn id="28" name="28" dataDxfId="6917"/>
    <tableColumn id="29" name="29" dataDxfId="6916"/>
    <tableColumn id="30" name="30" dataDxfId="6915"/>
    <tableColumn id="31" name="31" dataDxfId="6914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id="80" name="Tabela19214381" displayName="Tabela19214381" ref="I109:AM119" totalsRowShown="0" headerRowDxfId="6913" dataDxfId="6911" headerRowBorderDxfId="6912">
  <autoFilter ref="I109:AM1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910"/>
    <tableColumn id="2" name="2" dataDxfId="6909"/>
    <tableColumn id="3" name="3" dataDxfId="6908"/>
    <tableColumn id="4" name="4" dataDxfId="6907"/>
    <tableColumn id="5" name="5" dataDxfId="6906"/>
    <tableColumn id="6" name="6" dataDxfId="6905"/>
    <tableColumn id="7" name="7" dataDxfId="6904"/>
    <tableColumn id="8" name="8" dataDxfId="6903"/>
    <tableColumn id="9" name="9" dataDxfId="6902"/>
    <tableColumn id="10" name="10" dataDxfId="6901"/>
    <tableColumn id="11" name="11" dataDxfId="6900"/>
    <tableColumn id="12" name="12" dataDxfId="6899"/>
    <tableColumn id="13" name="13" dataDxfId="6898"/>
    <tableColumn id="14" name="14" dataDxfId="6897"/>
    <tableColumn id="15" name="15" dataDxfId="6896"/>
    <tableColumn id="16" name="16" dataDxfId="6895"/>
    <tableColumn id="17" name="17" dataDxfId="6894"/>
    <tableColumn id="18" name="18" dataDxfId="6893"/>
    <tableColumn id="19" name="19" dataDxfId="6892"/>
    <tableColumn id="20" name="20" dataDxfId="6891"/>
    <tableColumn id="21" name="21" dataDxfId="6890"/>
    <tableColumn id="22" name="22" dataDxfId="6889"/>
    <tableColumn id="23" name="23" dataDxfId="6888"/>
    <tableColumn id="24" name="24" dataDxfId="6887"/>
    <tableColumn id="25" name="25" dataDxfId="6886"/>
    <tableColumn id="26" name="26" dataDxfId="6885"/>
    <tableColumn id="27" name="27" dataDxfId="6884"/>
    <tableColumn id="28" name="28" dataDxfId="6883"/>
    <tableColumn id="29" name="29" dataDxfId="6882"/>
    <tableColumn id="30" name="30" dataDxfId="6881"/>
    <tableColumn id="31" name="31" dataDxfId="6880"/>
  </tableColumns>
  <tableStyleInfo name="TableStyleMedium9" showFirstColumn="0" showLastColumn="0" showRowStripes="1" showColumnStripes="0"/>
</table>
</file>

<file path=xl/tables/table107.xml><?xml version="1.0" encoding="utf-8"?>
<table xmlns="http://schemas.openxmlformats.org/spreadsheetml/2006/main" id="81" name="Tabela19224482" displayName="Tabela19224482" ref="I145:AM155" totalsRowShown="0" headerRowDxfId="6879" dataDxfId="6877" headerRowBorderDxfId="6878">
  <autoFilter ref="I145:AM1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876"/>
    <tableColumn id="2" name="2" dataDxfId="6875"/>
    <tableColumn id="3" name="3" dataDxfId="6874"/>
    <tableColumn id="4" name="4" dataDxfId="6873"/>
    <tableColumn id="5" name="5" dataDxfId="6872"/>
    <tableColumn id="6" name="6" dataDxfId="6871"/>
    <tableColumn id="7" name="7" dataDxfId="6870"/>
    <tableColumn id="8" name="8" dataDxfId="6869"/>
    <tableColumn id="9" name="9" dataDxfId="6868"/>
    <tableColumn id="10" name="10" dataDxfId="6867"/>
    <tableColumn id="11" name="11" dataDxfId="6866"/>
    <tableColumn id="12" name="12" dataDxfId="6865"/>
    <tableColumn id="13" name="13" dataDxfId="6864"/>
    <tableColumn id="14" name="14" dataDxfId="6863"/>
    <tableColumn id="15" name="15" dataDxfId="6862"/>
    <tableColumn id="16" name="16" dataDxfId="6861"/>
    <tableColumn id="17" name="17" dataDxfId="6860"/>
    <tableColumn id="18" name="18" dataDxfId="6859"/>
    <tableColumn id="19" name="19" dataDxfId="6858"/>
    <tableColumn id="20" name="20" dataDxfId="6857"/>
    <tableColumn id="21" name="21" dataDxfId="6856"/>
    <tableColumn id="22" name="22" dataDxfId="6855"/>
    <tableColumn id="23" name="23" dataDxfId="6854"/>
    <tableColumn id="24" name="24" dataDxfId="6853"/>
    <tableColumn id="25" name="25" dataDxfId="6852"/>
    <tableColumn id="26" name="26" dataDxfId="6851"/>
    <tableColumn id="27" name="27" dataDxfId="6850"/>
    <tableColumn id="28" name="28" dataDxfId="6849"/>
    <tableColumn id="29" name="29" dataDxfId="6848"/>
    <tableColumn id="30" name="30" dataDxfId="6847"/>
    <tableColumn id="31" name="31" dataDxfId="6846"/>
  </tableColumns>
  <tableStyleInfo name="TableStyleMedium9" showFirstColumn="0" showLastColumn="0" showRowStripes="1" showColumnStripes="0"/>
</table>
</file>

<file path=xl/tables/table108.xml><?xml version="1.0" encoding="utf-8"?>
<table xmlns="http://schemas.openxmlformats.org/spreadsheetml/2006/main" id="82" name="Tabela19234583" displayName="Tabela19234583" ref="I205:AM215" totalsRowShown="0" headerRowDxfId="6845" dataDxfId="6843" headerRowBorderDxfId="6844">
  <autoFilter ref="I205:AM2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842"/>
    <tableColumn id="2" name="2" dataDxfId="6841"/>
    <tableColumn id="3" name="3" dataDxfId="6840"/>
    <tableColumn id="4" name="4" dataDxfId="6839"/>
    <tableColumn id="5" name="5" dataDxfId="6838"/>
    <tableColumn id="6" name="6" dataDxfId="6837"/>
    <tableColumn id="7" name="7" dataDxfId="6836"/>
    <tableColumn id="8" name="8" dataDxfId="6835"/>
    <tableColumn id="9" name="9" dataDxfId="6834"/>
    <tableColumn id="10" name="10" dataDxfId="6833"/>
    <tableColumn id="11" name="11" dataDxfId="6832"/>
    <tableColumn id="12" name="12" dataDxfId="6831"/>
    <tableColumn id="13" name="13" dataDxfId="6830"/>
    <tableColumn id="14" name="14" dataDxfId="6829"/>
    <tableColumn id="15" name="15" dataDxfId="6828"/>
    <tableColumn id="16" name="16" dataDxfId="6827"/>
    <tableColumn id="17" name="17" dataDxfId="6826"/>
    <tableColumn id="18" name="18" dataDxfId="6825"/>
    <tableColumn id="19" name="19" dataDxfId="6824"/>
    <tableColumn id="20" name="20" dataDxfId="6823"/>
    <tableColumn id="21" name="21" dataDxfId="6822"/>
    <tableColumn id="22" name="22" dataDxfId="6821"/>
    <tableColumn id="23" name="23" dataDxfId="6820"/>
    <tableColumn id="24" name="24" dataDxfId="6819"/>
    <tableColumn id="25" name="25" dataDxfId="6818"/>
    <tableColumn id="26" name="26" dataDxfId="6817"/>
    <tableColumn id="27" name="27" dataDxfId="6816"/>
    <tableColumn id="28" name="28" dataDxfId="6815"/>
    <tableColumn id="29" name="29" dataDxfId="6814"/>
    <tableColumn id="30" name="30" dataDxfId="6813"/>
    <tableColumn id="31" name="31" dataDxfId="6812"/>
  </tableColumns>
  <tableStyleInfo name="TableStyleMedium9" showFirstColumn="0" showLastColumn="0" showRowStripes="1" showColumnStripes="0"/>
</table>
</file>

<file path=xl/tables/table109.xml><?xml version="1.0" encoding="utf-8"?>
<table xmlns="http://schemas.openxmlformats.org/spreadsheetml/2006/main" id="83" name="Tabela1921244684" displayName="Tabela1921244684" ref="I133:AM143" totalsRowShown="0" headerRowDxfId="6811" dataDxfId="6809" headerRowBorderDxfId="6810">
  <autoFilter ref="I133:AM1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808"/>
    <tableColumn id="2" name="2" dataDxfId="6807"/>
    <tableColumn id="3" name="3" dataDxfId="6806"/>
    <tableColumn id="4" name="4" dataDxfId="6805"/>
    <tableColumn id="5" name="5" dataDxfId="6804"/>
    <tableColumn id="6" name="6" dataDxfId="6803"/>
    <tableColumn id="7" name="7" dataDxfId="6802"/>
    <tableColumn id="8" name="8" dataDxfId="6801"/>
    <tableColumn id="9" name="9" dataDxfId="6800"/>
    <tableColumn id="10" name="10" dataDxfId="6799"/>
    <tableColumn id="11" name="11" dataDxfId="6798"/>
    <tableColumn id="12" name="12" dataDxfId="6797"/>
    <tableColumn id="13" name="13" dataDxfId="6796"/>
    <tableColumn id="14" name="14" dataDxfId="6795"/>
    <tableColumn id="15" name="15" dataDxfId="6794"/>
    <tableColumn id="16" name="16" dataDxfId="6793"/>
    <tableColumn id="17" name="17" dataDxfId="6792"/>
    <tableColumn id="18" name="18" dataDxfId="6791"/>
    <tableColumn id="19" name="19" dataDxfId="6790"/>
    <tableColumn id="20" name="20" dataDxfId="6789"/>
    <tableColumn id="21" name="21" dataDxfId="6788"/>
    <tableColumn id="22" name="22" dataDxfId="6787"/>
    <tableColumn id="23" name="23" dataDxfId="6786"/>
    <tableColumn id="24" name="24" dataDxfId="6785"/>
    <tableColumn id="25" name="25" dataDxfId="6784"/>
    <tableColumn id="26" name="26" dataDxfId="6783"/>
    <tableColumn id="27" name="27" dataDxfId="6782"/>
    <tableColumn id="28" name="28" dataDxfId="6781"/>
    <tableColumn id="29" name="29" dataDxfId="6780"/>
    <tableColumn id="30" name="30" dataDxfId="6779"/>
    <tableColumn id="31" name="31" dataDxfId="6778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3" name="Tabela13" displayName="Tabela13" ref="B127:G134" headerRowCount="0" totalsRowShown="0">
  <tableColumns count="6">
    <tableColumn id="1" name="Kolumna1" dataDxfId="8298"/>
    <tableColumn id="2" name="Kolumna2" dataDxfId="8297"/>
    <tableColumn id="3" name="Kolumna3" dataDxfId="8296">
      <calculatedColumnFormula>SUM(Tabela26[#This Row])</calculatedColumnFormula>
    </tableColumn>
    <tableColumn id="4" name="Kolumna4" dataDxfId="8295">
      <calculatedColumnFormula>C127-D127</calculatedColumnFormula>
    </tableColumn>
    <tableColumn id="5" name="Kolumna5" dataDxfId="8294">
      <calculatedColumnFormula>IFERROR(D127/C127,"")</calculatedColumnFormula>
    </tableColumn>
    <tableColumn id="6" name="Kolumna6" dataDxfId="8293"/>
  </tableColumns>
  <tableStyleInfo name="TableStyleLight9" showFirstColumn="0" showLastColumn="0" showRowStripes="1" showColumnStripes="0"/>
</table>
</file>

<file path=xl/tables/table110.xml><?xml version="1.0" encoding="utf-8"?>
<table xmlns="http://schemas.openxmlformats.org/spreadsheetml/2006/main" id="84" name="Tabela1921254785" displayName="Tabela1921254785" ref="I121:AM131" totalsRowShown="0" headerRowDxfId="6777" dataDxfId="6775" headerRowBorderDxfId="6776">
  <autoFilter ref="I121:AM1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774"/>
    <tableColumn id="2" name="2" dataDxfId="6773"/>
    <tableColumn id="3" name="3" dataDxfId="6772"/>
    <tableColumn id="4" name="4" dataDxfId="6771"/>
    <tableColumn id="5" name="5" dataDxfId="6770"/>
    <tableColumn id="6" name="6" dataDxfId="6769"/>
    <tableColumn id="7" name="7" dataDxfId="6768"/>
    <tableColumn id="8" name="8" dataDxfId="6767"/>
    <tableColumn id="9" name="9" dataDxfId="6766"/>
    <tableColumn id="10" name="10" dataDxfId="6765"/>
    <tableColumn id="11" name="11" dataDxfId="6764"/>
    <tableColumn id="12" name="12" dataDxfId="6763"/>
    <tableColumn id="13" name="13" dataDxfId="6762"/>
    <tableColumn id="14" name="14" dataDxfId="6761"/>
    <tableColumn id="15" name="15" dataDxfId="6760"/>
    <tableColumn id="16" name="16" dataDxfId="6759"/>
    <tableColumn id="17" name="17" dataDxfId="6758"/>
    <tableColumn id="18" name="18" dataDxfId="6757"/>
    <tableColumn id="19" name="19" dataDxfId="6756"/>
    <tableColumn id="20" name="20" dataDxfId="6755"/>
    <tableColumn id="21" name="21" dataDxfId="6754"/>
    <tableColumn id="22" name="22" dataDxfId="6753"/>
    <tableColumn id="23" name="23" dataDxfId="6752"/>
    <tableColumn id="24" name="24" dataDxfId="6751"/>
    <tableColumn id="25" name="25" dataDxfId="6750"/>
    <tableColumn id="26" name="26" dataDxfId="6749"/>
    <tableColumn id="27" name="27" dataDxfId="6748"/>
    <tableColumn id="28" name="28" dataDxfId="6747"/>
    <tableColumn id="29" name="29" dataDxfId="6746"/>
    <tableColumn id="30" name="30" dataDxfId="6745"/>
    <tableColumn id="31" name="31" dataDxfId="6744"/>
  </tableColumns>
  <tableStyleInfo name="TableStyleMedium9" showFirstColumn="0" showLastColumn="0" showRowStripes="1" showColumnStripes="0"/>
</table>
</file>

<file path=xl/tables/table111.xml><?xml version="1.0" encoding="utf-8"?>
<table xmlns="http://schemas.openxmlformats.org/spreadsheetml/2006/main" id="85" name="Tabela254886" displayName="Tabela254886" ref="I157:AM167" totalsRowShown="0" headerRowDxfId="6743" dataDxfId="6742">
  <autoFilter ref="I157:AM1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741"/>
    <tableColumn id="2" name="2" dataDxfId="6740"/>
    <tableColumn id="3" name="3" dataDxfId="6739"/>
    <tableColumn id="4" name="4" dataDxfId="6738"/>
    <tableColumn id="5" name="5" dataDxfId="6737"/>
    <tableColumn id="6" name="6" dataDxfId="6736"/>
    <tableColumn id="7" name="7" dataDxfId="6735"/>
    <tableColumn id="8" name="8" dataDxfId="6734"/>
    <tableColumn id="9" name="9" dataDxfId="6733"/>
    <tableColumn id="10" name="10" dataDxfId="6732"/>
    <tableColumn id="11" name="11" dataDxfId="6731"/>
    <tableColumn id="12" name="12" dataDxfId="6730"/>
    <tableColumn id="13" name="13" dataDxfId="6729"/>
    <tableColumn id="14" name="14" dataDxfId="6728"/>
    <tableColumn id="15" name="15" dataDxfId="6727"/>
    <tableColumn id="16" name="16" dataDxfId="6726"/>
    <tableColumn id="17" name="17" dataDxfId="6725"/>
    <tableColumn id="18" name="18" dataDxfId="6724"/>
    <tableColumn id="19" name="19" dataDxfId="6723"/>
    <tableColumn id="20" name="20" dataDxfId="6722"/>
    <tableColumn id="21" name="21" dataDxfId="6721"/>
    <tableColumn id="22" name="22" dataDxfId="6720"/>
    <tableColumn id="23" name="23" dataDxfId="6719"/>
    <tableColumn id="24" name="24" dataDxfId="6718"/>
    <tableColumn id="25" name="25" dataDxfId="6717"/>
    <tableColumn id="26" name="26" dataDxfId="6716"/>
    <tableColumn id="27" name="27" dataDxfId="6715"/>
    <tableColumn id="28" name="28" dataDxfId="6714"/>
    <tableColumn id="29" name="29" dataDxfId="6713"/>
    <tableColumn id="30" name="30" dataDxfId="6712"/>
    <tableColumn id="31" name="31" dataDxfId="6711"/>
  </tableColumns>
  <tableStyleInfo name="TableStyleMedium9" showFirstColumn="0" showLastColumn="0" showRowStripes="1" showColumnStripes="0"/>
</table>
</file>

<file path=xl/tables/table112.xml><?xml version="1.0" encoding="utf-8"?>
<table xmlns="http://schemas.openxmlformats.org/spreadsheetml/2006/main" id="86" name="Tabela264987" displayName="Tabela264987" ref="I169:AM179" totalsRowShown="0" headerRowDxfId="6710" headerRowBorderDxfId="6709">
  <autoFilter ref="I169:AM1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708"/>
    <tableColumn id="2" name="2" dataDxfId="6707"/>
    <tableColumn id="3" name="3" dataDxfId="6706"/>
    <tableColumn id="4" name="4" dataDxfId="6705"/>
    <tableColumn id="5" name="5" dataDxfId="6704"/>
    <tableColumn id="6" name="6" dataDxfId="6703"/>
    <tableColumn id="7" name="7" dataDxfId="6702"/>
    <tableColumn id="8" name="8" dataDxfId="6701"/>
    <tableColumn id="9" name="9" dataDxfId="6700"/>
    <tableColumn id="10" name="10" dataDxfId="6699"/>
    <tableColumn id="11" name="11" dataDxfId="6698"/>
    <tableColumn id="12" name="12" dataDxfId="6697"/>
    <tableColumn id="13" name="13" dataDxfId="6696"/>
    <tableColumn id="14" name="14" dataDxfId="6695"/>
    <tableColumn id="15" name="15" dataDxfId="6694"/>
    <tableColumn id="16" name="16" dataDxfId="6693"/>
    <tableColumn id="17" name="17" dataDxfId="6692"/>
    <tableColumn id="18" name="18" dataDxfId="6691"/>
    <tableColumn id="19" name="19" dataDxfId="6690"/>
    <tableColumn id="20" name="20" dataDxfId="6689"/>
    <tableColumn id="21" name="21" dataDxfId="6688"/>
    <tableColumn id="22" name="22" dataDxfId="6687"/>
    <tableColumn id="23" name="23" dataDxfId="6686"/>
    <tableColumn id="24" name="24" dataDxfId="6685"/>
    <tableColumn id="25" name="25" dataDxfId="6684"/>
    <tableColumn id="26" name="26" dataDxfId="6683"/>
    <tableColumn id="27" name="27" dataDxfId="6682"/>
    <tableColumn id="28" name="28" dataDxfId="6681"/>
    <tableColumn id="29" name="29" dataDxfId="6680"/>
    <tableColumn id="30" name="30" dataDxfId="6679"/>
    <tableColumn id="31" name="31" dataDxfId="6678"/>
  </tableColumns>
  <tableStyleInfo name="TableStyleMedium9" showFirstColumn="0" showLastColumn="0" showRowStripes="1" showColumnStripes="0"/>
</table>
</file>

<file path=xl/tables/table113.xml><?xml version="1.0" encoding="utf-8"?>
<table xmlns="http://schemas.openxmlformats.org/spreadsheetml/2006/main" id="87" name="Tabela275088" displayName="Tabela275088" ref="I181:AM191" totalsRowShown="0" headerRowDxfId="6677">
  <autoFilter ref="I181:AM19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676"/>
    <tableColumn id="2" name="2" dataDxfId="6675"/>
    <tableColumn id="3" name="3" dataDxfId="6674"/>
    <tableColumn id="4" name="4" dataDxfId="6673"/>
    <tableColumn id="5" name="5" dataDxfId="6672"/>
    <tableColumn id="6" name="6" dataDxfId="6671"/>
    <tableColumn id="7" name="7" dataDxfId="6670"/>
    <tableColumn id="8" name="8" dataDxfId="6669"/>
    <tableColumn id="9" name="9" dataDxfId="6668"/>
    <tableColumn id="10" name="10" dataDxfId="6667"/>
    <tableColumn id="11" name="11" dataDxfId="6666"/>
    <tableColumn id="12" name="12" dataDxfId="6665"/>
    <tableColumn id="13" name="13" dataDxfId="6664"/>
    <tableColumn id="14" name="14" dataDxfId="6663"/>
    <tableColumn id="15" name="15" dataDxfId="6662"/>
    <tableColumn id="16" name="16" dataDxfId="6661"/>
    <tableColumn id="17" name="17" dataDxfId="6660"/>
    <tableColumn id="18" name="18" dataDxfId="6659"/>
    <tableColumn id="19" name="19" dataDxfId="6658"/>
    <tableColumn id="20" name="20" dataDxfId="6657"/>
    <tableColumn id="21" name="21" dataDxfId="6656"/>
    <tableColumn id="22" name="22" dataDxfId="6655"/>
    <tableColumn id="23" name="23" dataDxfId="6654"/>
    <tableColumn id="24" name="24" dataDxfId="6653"/>
    <tableColumn id="25" name="25" dataDxfId="6652"/>
    <tableColumn id="26" name="26" dataDxfId="6651"/>
    <tableColumn id="27" name="27" dataDxfId="6650"/>
    <tableColumn id="28" name="28" dataDxfId="6649"/>
    <tableColumn id="29" name="29" dataDxfId="6648"/>
    <tableColumn id="30" name="30" dataDxfId="6647"/>
    <tableColumn id="31" name="31" dataDxfId="6646"/>
  </tableColumns>
  <tableStyleInfo name="TableStyleMedium9" showFirstColumn="0" showLastColumn="0" showRowStripes="1" showColumnStripes="0"/>
</table>
</file>

<file path=xl/tables/table114.xml><?xml version="1.0" encoding="utf-8"?>
<table xmlns="http://schemas.openxmlformats.org/spreadsheetml/2006/main" id="88" name="Tabela285189" displayName="Tabela285189" ref="I193:AM203" totalsRowShown="0" headerRowDxfId="6645" dataDxfId="6643" headerRowBorderDxfId="6644">
  <autoFilter ref="I193:AM20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642"/>
    <tableColumn id="2" name="2" dataDxfId="6641"/>
    <tableColumn id="3" name="3" dataDxfId="6640"/>
    <tableColumn id="4" name="4" dataDxfId="6639"/>
    <tableColumn id="5" name="5" dataDxfId="6638"/>
    <tableColumn id="6" name="6" dataDxfId="6637"/>
    <tableColumn id="7" name="7" dataDxfId="6636"/>
    <tableColumn id="8" name="8" dataDxfId="6635"/>
    <tableColumn id="9" name="9" dataDxfId="6634"/>
    <tableColumn id="10" name="10" dataDxfId="6633"/>
    <tableColumn id="11" name="11" dataDxfId="6632"/>
    <tableColumn id="12" name="12" dataDxfId="6631"/>
    <tableColumn id="13" name="13" dataDxfId="6630"/>
    <tableColumn id="14" name="14" dataDxfId="6629"/>
    <tableColumn id="15" name="15" dataDxfId="6628"/>
    <tableColumn id="16" name="16" dataDxfId="6627"/>
    <tableColumn id="17" name="17" dataDxfId="6626"/>
    <tableColumn id="18" name="18" dataDxfId="6625"/>
    <tableColumn id="19" name="19" dataDxfId="6624"/>
    <tableColumn id="20" name="20" dataDxfId="6623"/>
    <tableColumn id="21" name="21" dataDxfId="6622"/>
    <tableColumn id="22" name="22" dataDxfId="6621"/>
    <tableColumn id="23" name="23" dataDxfId="6620"/>
    <tableColumn id="24" name="24" dataDxfId="6619"/>
    <tableColumn id="25" name="25" dataDxfId="6618"/>
    <tableColumn id="26" name="26" dataDxfId="6617"/>
    <tableColumn id="27" name="27" dataDxfId="6616"/>
    <tableColumn id="28" name="28" dataDxfId="6615"/>
    <tableColumn id="29" name="29" dataDxfId="6614"/>
    <tableColumn id="30" name="30" dataDxfId="6613"/>
    <tableColumn id="31" name="31" dataDxfId="6612"/>
  </tableColumns>
  <tableStyleInfo name="TableStyleMedium9" showFirstColumn="0" showLastColumn="0" showRowStripes="1" showColumnStripes="0"/>
</table>
</file>

<file path=xl/tables/table115.xml><?xml version="1.0" encoding="utf-8"?>
<table xmlns="http://schemas.openxmlformats.org/spreadsheetml/2006/main" id="89" name="Tabela16405890" displayName="Tabela16405890" ref="B218:G227" headerRowCount="0" totalsRowShown="0">
  <tableColumns count="6">
    <tableColumn id="1" name="Kolumna1" dataDxfId="6611">
      <calculatedColumnFormula>'Wzorzec kategorii'!B180</calculatedColumnFormula>
    </tableColumn>
    <tableColumn id="2" name="Kolumna2" dataDxfId="6610"/>
    <tableColumn id="3" name="Kolumna3" dataDxfId="6609">
      <calculatedColumnFormula>SUM(Tabela1923455991[#This Row])</calculatedColumnFormula>
    </tableColumn>
    <tableColumn id="4" name="Kolumna4" dataDxfId="6608">
      <calculatedColumnFormula>C218-D218</calculatedColumnFormula>
    </tableColumn>
    <tableColumn id="5" name="Kolumna5" dataDxfId="6607">
      <calculatedColumnFormula>IFERROR(D218/C218,"")</calculatedColumnFormula>
    </tableColumn>
    <tableColumn id="6" name="Kolumna6" dataDxfId="6606"/>
  </tableColumns>
  <tableStyleInfo name="TableStyleLight9" showFirstColumn="0" showLastColumn="0" showRowStripes="1" showColumnStripes="0"/>
</table>
</file>

<file path=xl/tables/table116.xml><?xml version="1.0" encoding="utf-8"?>
<table xmlns="http://schemas.openxmlformats.org/spreadsheetml/2006/main" id="90" name="Tabela1923455991" displayName="Tabela1923455991" ref="I217:AM227" totalsRowShown="0" headerRowDxfId="6605" dataDxfId="6603" headerRowBorderDxfId="6604">
  <autoFilter ref="I217:AM2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602"/>
    <tableColumn id="2" name="2" dataDxfId="6601"/>
    <tableColumn id="3" name="3" dataDxfId="6600"/>
    <tableColumn id="4" name="4" dataDxfId="6599"/>
    <tableColumn id="5" name="5" dataDxfId="6598"/>
    <tableColumn id="6" name="6" dataDxfId="6597"/>
    <tableColumn id="7" name="7" dataDxfId="6596"/>
    <tableColumn id="8" name="8" dataDxfId="6595"/>
    <tableColumn id="9" name="9" dataDxfId="6594"/>
    <tableColumn id="10" name="10" dataDxfId="6593"/>
    <tableColumn id="11" name="11" dataDxfId="6592"/>
    <tableColumn id="12" name="12" dataDxfId="6591"/>
    <tableColumn id="13" name="13" dataDxfId="6590"/>
    <tableColumn id="14" name="14" dataDxfId="6589"/>
    <tableColumn id="15" name="15" dataDxfId="6588"/>
    <tableColumn id="16" name="16" dataDxfId="6587"/>
    <tableColumn id="17" name="17" dataDxfId="6586"/>
    <tableColumn id="18" name="18" dataDxfId="6585"/>
    <tableColumn id="19" name="19" dataDxfId="6584"/>
    <tableColumn id="20" name="20" dataDxfId="6583"/>
    <tableColumn id="21" name="21" dataDxfId="6582"/>
    <tableColumn id="22" name="22" dataDxfId="6581"/>
    <tableColumn id="23" name="23" dataDxfId="6580"/>
    <tableColumn id="24" name="24" dataDxfId="6579"/>
    <tableColumn id="25" name="25" dataDxfId="6578"/>
    <tableColumn id="26" name="26" dataDxfId="6577"/>
    <tableColumn id="27" name="27" dataDxfId="6576"/>
    <tableColumn id="28" name="28" dataDxfId="6575"/>
    <tableColumn id="29" name="29" dataDxfId="6574"/>
    <tableColumn id="30" name="30" dataDxfId="6573"/>
    <tableColumn id="31" name="31" dataDxfId="6572"/>
  </tableColumns>
  <tableStyleInfo name="TableStyleMedium9" showFirstColumn="0" showLastColumn="0" showRowStripes="1" showColumnStripes="0"/>
</table>
</file>

<file path=xl/tables/table117.xml><?xml version="1.0" encoding="utf-8"?>
<table xmlns="http://schemas.openxmlformats.org/spreadsheetml/2006/main" id="91" name="Tabela1640586092" displayName="Tabela1640586092" ref="B230:G239" headerRowCount="0" totalsRowShown="0">
  <tableColumns count="6">
    <tableColumn id="1" name="Kolumna1" dataDxfId="6571">
      <calculatedColumnFormula>'Wzorzec kategorii'!B192</calculatedColumnFormula>
    </tableColumn>
    <tableColumn id="2" name="Kolumna2" dataDxfId="6570"/>
    <tableColumn id="3" name="Kolumna3" dataDxfId="6569">
      <calculatedColumnFormula>SUM(Tabela192345596294[#This Row])</calculatedColumnFormula>
    </tableColumn>
    <tableColumn id="4" name="Kolumna4" dataDxfId="6568">
      <calculatedColumnFormula>C230-D230</calculatedColumnFormula>
    </tableColumn>
    <tableColumn id="5" name="Kolumna5" dataDxfId="6567">
      <calculatedColumnFormula>IFERROR(D230/C230,"")</calculatedColumnFormula>
    </tableColumn>
    <tableColumn id="6" name="Kolumna6" dataDxfId="6566"/>
  </tableColumns>
  <tableStyleInfo name="TableStyleLight9" showFirstColumn="0" showLastColumn="0" showRowStripes="1" showColumnStripes="0"/>
</table>
</file>

<file path=xl/tables/table118.xml><?xml version="1.0" encoding="utf-8"?>
<table xmlns="http://schemas.openxmlformats.org/spreadsheetml/2006/main" id="92" name="Tabela164058606193" displayName="Tabela164058606193" ref="B242:G251" headerRowCount="0" totalsRowShown="0">
  <tableColumns count="6">
    <tableColumn id="1" name="Kolumna1" dataDxfId="6565">
      <calculatedColumnFormula>'Wzorzec kategorii'!B204</calculatedColumnFormula>
    </tableColumn>
    <tableColumn id="2" name="Kolumna2" dataDxfId="6564"/>
    <tableColumn id="3" name="Kolumna3" dataDxfId="6563">
      <calculatedColumnFormula>SUM(Tabela192345596395[#This Row])</calculatedColumnFormula>
    </tableColumn>
    <tableColumn id="4" name="Kolumna4" dataDxfId="6562">
      <calculatedColumnFormula>C242-D242</calculatedColumnFormula>
    </tableColumn>
    <tableColumn id="5" name="Kolumna5" dataDxfId="6561">
      <calculatedColumnFormula>IFERROR(D242/C242,"")</calculatedColumnFormula>
    </tableColumn>
    <tableColumn id="6" name="Kolumna6" dataDxfId="6560"/>
  </tableColumns>
  <tableStyleInfo name="TableStyleLight9" showFirstColumn="0" showLastColumn="0" showRowStripes="1" showColumnStripes="0"/>
</table>
</file>

<file path=xl/tables/table119.xml><?xml version="1.0" encoding="utf-8"?>
<table xmlns="http://schemas.openxmlformats.org/spreadsheetml/2006/main" id="93" name="Tabela192345596294" displayName="Tabela192345596294" ref="I229:AM239" totalsRowShown="0" headerRowDxfId="6559" dataDxfId="6557" headerRowBorderDxfId="6558">
  <autoFilter ref="I229:AM2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556"/>
    <tableColumn id="2" name="2" dataDxfId="6555"/>
    <tableColumn id="3" name="3" dataDxfId="6554"/>
    <tableColumn id="4" name="4" dataDxfId="6553"/>
    <tableColumn id="5" name="5" dataDxfId="6552"/>
    <tableColumn id="6" name="6" dataDxfId="6551"/>
    <tableColumn id="7" name="7" dataDxfId="6550"/>
    <tableColumn id="8" name="8" dataDxfId="6549"/>
    <tableColumn id="9" name="9" dataDxfId="6548"/>
    <tableColumn id="10" name="10" dataDxfId="6547"/>
    <tableColumn id="11" name="11" dataDxfId="6546"/>
    <tableColumn id="12" name="12" dataDxfId="6545"/>
    <tableColumn id="13" name="13" dataDxfId="6544"/>
    <tableColumn id="14" name="14" dataDxfId="6543"/>
    <tableColumn id="15" name="15" dataDxfId="6542"/>
    <tableColumn id="16" name="16" dataDxfId="6541"/>
    <tableColumn id="17" name="17" dataDxfId="6540"/>
    <tableColumn id="18" name="18" dataDxfId="6539"/>
    <tableColumn id="19" name="19" dataDxfId="6538"/>
    <tableColumn id="20" name="20" dataDxfId="6537"/>
    <tableColumn id="21" name="21" dataDxfId="6536"/>
    <tableColumn id="22" name="22" dataDxfId="6535"/>
    <tableColumn id="23" name="23" dataDxfId="6534"/>
    <tableColumn id="24" name="24" dataDxfId="6533"/>
    <tableColumn id="25" name="25" dataDxfId="6532"/>
    <tableColumn id="26" name="26" dataDxfId="6531"/>
    <tableColumn id="27" name="27" dataDxfId="6530"/>
    <tableColumn id="28" name="28" dataDxfId="6529"/>
    <tableColumn id="29" name="29" dataDxfId="6528"/>
    <tableColumn id="30" name="30" dataDxfId="6527"/>
    <tableColumn id="31" name="31" dataDxfId="6526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4" name="Tabela14" displayName="Tabela14" ref="B137:G144" headerRowCount="0" totalsRowShown="0">
  <tableColumns count="6">
    <tableColumn id="1" name="Kolumna1" dataDxfId="8292"/>
    <tableColumn id="2" name="Kolumna2" dataDxfId="8291"/>
    <tableColumn id="3" name="Kolumna3" dataDxfId="8290">
      <calculatedColumnFormula>SUM(Tabela27[#This Row])</calculatedColumnFormula>
    </tableColumn>
    <tableColumn id="4" name="Kolumna4" dataDxfId="8289">
      <calculatedColumnFormula>C137-D137</calculatedColumnFormula>
    </tableColumn>
    <tableColumn id="5" name="Kolumna5" dataDxfId="8288">
      <calculatedColumnFormula>IFERROR(D137/C137,"")</calculatedColumnFormula>
    </tableColumn>
    <tableColumn id="6" name="Kolumna6" dataDxfId="8287"/>
  </tableColumns>
  <tableStyleInfo name="TableStyleLight9" showFirstColumn="0" showLastColumn="0" showRowStripes="1" showColumnStripes="0"/>
</table>
</file>

<file path=xl/tables/table120.xml><?xml version="1.0" encoding="utf-8"?>
<table xmlns="http://schemas.openxmlformats.org/spreadsheetml/2006/main" id="94" name="Tabela192345596395" displayName="Tabela192345596395" ref="I241:AM251" totalsRowShown="0" headerRowDxfId="6525" dataDxfId="6523" headerRowBorderDxfId="6524">
  <autoFilter ref="I241:AM25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522"/>
    <tableColumn id="2" name="2" dataDxfId="6521"/>
    <tableColumn id="3" name="3" dataDxfId="6520"/>
    <tableColumn id="4" name="4" dataDxfId="6519"/>
    <tableColumn id="5" name="5" dataDxfId="6518"/>
    <tableColumn id="6" name="6" dataDxfId="6517"/>
    <tableColumn id="7" name="7" dataDxfId="6516"/>
    <tableColumn id="8" name="8" dataDxfId="6515"/>
    <tableColumn id="9" name="9" dataDxfId="6514"/>
    <tableColumn id="10" name="10" dataDxfId="6513"/>
    <tableColumn id="11" name="11" dataDxfId="6512"/>
    <tableColumn id="12" name="12" dataDxfId="6511"/>
    <tableColumn id="13" name="13" dataDxfId="6510"/>
    <tableColumn id="14" name="14" dataDxfId="6509"/>
    <tableColumn id="15" name="15" dataDxfId="6508"/>
    <tableColumn id="16" name="16" dataDxfId="6507"/>
    <tableColumn id="17" name="17" dataDxfId="6506"/>
    <tableColumn id="18" name="18" dataDxfId="6505"/>
    <tableColumn id="19" name="19" dataDxfId="6504"/>
    <tableColumn id="20" name="20" dataDxfId="6503"/>
    <tableColumn id="21" name="21" dataDxfId="6502"/>
    <tableColumn id="22" name="22" dataDxfId="6501"/>
    <tableColumn id="23" name="23" dataDxfId="6500"/>
    <tableColumn id="24" name="24" dataDxfId="6499"/>
    <tableColumn id="25" name="25" dataDxfId="6498"/>
    <tableColumn id="26" name="26" dataDxfId="6497"/>
    <tableColumn id="27" name="27" dataDxfId="6496"/>
    <tableColumn id="28" name="28" dataDxfId="6495"/>
    <tableColumn id="29" name="29" dataDxfId="6494"/>
    <tableColumn id="30" name="30" dataDxfId="6493"/>
    <tableColumn id="31" name="31" dataDxfId="6492"/>
  </tableColumns>
  <tableStyleInfo name="TableStyleMedium9" showFirstColumn="0" showLastColumn="0" showRowStripes="1" showColumnStripes="0"/>
</table>
</file>

<file path=xl/tables/table121.xml><?xml version="1.0" encoding="utf-8"?>
<table xmlns="http://schemas.openxmlformats.org/spreadsheetml/2006/main" id="95" name="Tabela3306496" displayName="Tabela3306496" ref="I51:AM66" totalsRowShown="0" headerRowDxfId="6491">
  <autoFilter ref="I51:AM6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490"/>
    <tableColumn id="2" name="2" dataDxfId="6489"/>
    <tableColumn id="3" name="3" dataDxfId="6488"/>
    <tableColumn id="4" name="4" dataDxfId="6487"/>
    <tableColumn id="5" name="5" dataDxfId="6486"/>
    <tableColumn id="6" name="6" dataDxfId="6485"/>
    <tableColumn id="7" name="7" dataDxfId="6484"/>
    <tableColumn id="8" name="8" dataDxfId="6483"/>
    <tableColumn id="9" name="9" dataDxfId="6482"/>
    <tableColumn id="10" name="10" dataDxfId="6481"/>
    <tableColumn id="11" name="11" dataDxfId="6480"/>
    <tableColumn id="12" name="12" dataDxfId="6479"/>
    <tableColumn id="13" name="13" dataDxfId="6478"/>
    <tableColumn id="14" name="14" dataDxfId="6477"/>
    <tableColumn id="15" name="15" dataDxfId="6476"/>
    <tableColumn id="16" name="16" dataDxfId="6475"/>
    <tableColumn id="17" name="17" dataDxfId="6474"/>
    <tableColumn id="18" name="18" dataDxfId="6473"/>
    <tableColumn id="19" name="19" dataDxfId="6472"/>
    <tableColumn id="20" name="20" dataDxfId="6471"/>
    <tableColumn id="21" name="21" dataDxfId="6470"/>
    <tableColumn id="22" name="22" dataDxfId="6469"/>
    <tableColumn id="23" name="23" dataDxfId="6468"/>
    <tableColumn id="24" name="24" dataDxfId="6467"/>
    <tableColumn id="25" name="25" dataDxfId="6466"/>
    <tableColumn id="26" name="26" dataDxfId="6465"/>
    <tableColumn id="27" name="27" dataDxfId="6464"/>
    <tableColumn id="28" name="28" dataDxfId="6463"/>
    <tableColumn id="29" name="29" dataDxfId="6462"/>
    <tableColumn id="30" name="30" dataDxfId="6461"/>
    <tableColumn id="31" name="31" dataDxfId="6460"/>
  </tableColumns>
  <tableStyleInfo name="TableStyleMedium9" showFirstColumn="0" showLastColumn="0" showRowStripes="1" showColumnStripes="0"/>
</table>
</file>

<file path=xl/tables/table122.xml><?xml version="1.0" encoding="utf-8"?>
<table xmlns="http://schemas.openxmlformats.org/spreadsheetml/2006/main" id="96" name="Jedzenie297" displayName="Jedzenie297" ref="B74:G83" headerRowCount="0" totalsRowShown="0" headerRowDxfId="6459" dataDxfId="6458">
  <tableColumns count="6">
    <tableColumn id="1" name="Kategoria" dataDxfId="6457">
      <calculatedColumnFormula>'Wzorzec kategorii'!B36</calculatedColumnFormula>
    </tableColumn>
    <tableColumn id="2" name="0" headerRowDxfId="6456" dataDxfId="6455"/>
    <tableColumn id="3" name="02" headerRowDxfId="6454" dataDxfId="6453">
      <calculatedColumnFormula>SUM(Tabela330100[#This Row])</calculatedColumnFormula>
    </tableColumn>
    <tableColumn id="4" name="Kolumna4" dataDxfId="6452">
      <calculatedColumnFormula>C74-D74</calculatedColumnFormula>
    </tableColumn>
    <tableColumn id="5" name="Kolumna1" dataDxfId="6451">
      <calculatedColumnFormula>IFERROR(D74/C74,"")</calculatedColumnFormula>
    </tableColumn>
    <tableColumn id="6" name="Kolumna2" dataDxfId="6450"/>
  </tableColumns>
  <tableStyleInfo name="TableStyleLight9" showFirstColumn="0" showLastColumn="0" showRowStripes="1" showColumnStripes="0"/>
</table>
</file>

<file path=xl/tables/table123.xml><?xml version="1.0" encoding="utf-8"?>
<table xmlns="http://schemas.openxmlformats.org/spreadsheetml/2006/main" id="97" name="Transport398" displayName="Transport398" ref="B98:G107" headerRowCount="0" totalsRowShown="0">
  <tableColumns count="6">
    <tableColumn id="1" name="Kolumna1" dataDxfId="6449">
      <calculatedColumnFormula>'Wzorzec kategorii'!B60</calculatedColumnFormula>
    </tableColumn>
    <tableColumn id="2" name="Kolumna2" dataDxfId="6448"/>
    <tableColumn id="3" name="Kolumna3" dataDxfId="6447">
      <calculatedColumnFormula>SUM(Tabela1942112[#This Row])</calculatedColumnFormula>
    </tableColumn>
    <tableColumn id="4" name="Kolumna4" dataDxfId="6446">
      <calculatedColumnFormula>C98-D98</calculatedColumnFormula>
    </tableColumn>
    <tableColumn id="5" name="Kolumna5" dataDxfId="6445">
      <calculatedColumnFormula>IFERROR(D98/C98,"")</calculatedColumnFormula>
    </tableColumn>
    <tableColumn id="6" name="Kolumna6" dataDxfId="6444"/>
  </tableColumns>
  <tableStyleInfo name="TableStyleLight9" showFirstColumn="0" showLastColumn="0" showRowStripes="1" showColumnStripes="0"/>
</table>
</file>

<file path=xl/tables/table124.xml><?xml version="1.0" encoding="utf-8"?>
<table xmlns="http://schemas.openxmlformats.org/spreadsheetml/2006/main" id="98" name="Tabela71899" displayName="Tabela71899" ref="B52:G66" headerRowCount="0" totalsRowShown="0" headerRowDxfId="6443" dataDxfId="6442">
  <tableColumns count="6">
    <tableColumn id="1" name="Kolumna1" dataDxfId="6441">
      <calculatedColumnFormula>'Wzorzec kategorii'!B15</calculatedColumnFormula>
    </tableColumn>
    <tableColumn id="2" name="Kolumna2" dataDxfId="6440"/>
    <tableColumn id="3" name="Kolumna3" dataDxfId="6439">
      <calculatedColumnFormula>SUM(Tabela33064128[#This Row])</calculatedColumnFormula>
    </tableColumn>
    <tableColumn id="4" name="Kolumna4" dataDxfId="6438">
      <calculatedColumnFormula>Tabela71899[[#This Row],[Kolumna3]]-Tabela71899[[#This Row],[Kolumna2]]</calculatedColumnFormula>
    </tableColumn>
    <tableColumn id="5" name="Kolumna5" dataDxfId="6437" dataCellStyle="Procentowy">
      <calculatedColumnFormula>IFERROR(D52/C52,"")</calculatedColumnFormula>
    </tableColumn>
    <tableColumn id="6" name="Kolumna6" dataDxfId="6436"/>
  </tableColumns>
  <tableStyleInfo name="TableStyleLight9" showFirstColumn="0" showLastColumn="0" showRowStripes="1" showColumnStripes="0"/>
</table>
</file>

<file path=xl/tables/table125.xml><?xml version="1.0" encoding="utf-8"?>
<table xmlns="http://schemas.openxmlformats.org/spreadsheetml/2006/main" id="99" name="Tabela330100" displayName="Tabela330100" ref="I73:AM83" totalsRowShown="0" headerRowDxfId="6435">
  <autoFilter ref="I73:AM8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434"/>
    <tableColumn id="2" name="2" dataDxfId="6433"/>
    <tableColumn id="3" name="3" dataDxfId="6432"/>
    <tableColumn id="4" name="4" dataDxfId="6431"/>
    <tableColumn id="5" name="5" dataDxfId="6430"/>
    <tableColumn id="6" name="6" dataDxfId="6429"/>
    <tableColumn id="7" name="7" dataDxfId="6428"/>
    <tableColumn id="8" name="8" dataDxfId="6427"/>
    <tableColumn id="9" name="9" dataDxfId="6426"/>
    <tableColumn id="10" name="10" dataDxfId="6425"/>
    <tableColumn id="11" name="11" dataDxfId="6424"/>
    <tableColumn id="12" name="12" dataDxfId="6423"/>
    <tableColumn id="13" name="13" dataDxfId="6422"/>
    <tableColumn id="14" name="14" dataDxfId="6421"/>
    <tableColumn id="15" name="15" dataDxfId="6420"/>
    <tableColumn id="16" name="16" dataDxfId="6419"/>
    <tableColumn id="17" name="17" dataDxfId="6418"/>
    <tableColumn id="18" name="18" dataDxfId="6417"/>
    <tableColumn id="19" name="19" dataDxfId="6416"/>
    <tableColumn id="20" name="20" dataDxfId="6415"/>
    <tableColumn id="21" name="21" dataDxfId="6414"/>
    <tableColumn id="22" name="22" dataDxfId="6413"/>
    <tableColumn id="23" name="23" dataDxfId="6412"/>
    <tableColumn id="24" name="24" dataDxfId="6411"/>
    <tableColumn id="25" name="25" dataDxfId="6410"/>
    <tableColumn id="26" name="26" dataDxfId="6409"/>
    <tableColumn id="27" name="27" dataDxfId="6408"/>
    <tableColumn id="28" name="28" dataDxfId="6407"/>
    <tableColumn id="29" name="29" dataDxfId="6406"/>
    <tableColumn id="30" name="30" dataDxfId="6405"/>
    <tableColumn id="31" name="31" dataDxfId="6404"/>
  </tableColumns>
  <tableStyleInfo name="TableStyleMedium9" showFirstColumn="0" showLastColumn="0" showRowStripes="1" showColumnStripes="0"/>
</table>
</file>

<file path=xl/tables/table126.xml><?xml version="1.0" encoding="utf-8"?>
<table xmlns="http://schemas.openxmlformats.org/spreadsheetml/2006/main" id="100" name="Tabela431101" displayName="Tabela431101" ref="B86:G95" headerRowCount="0" totalsRowShown="0" headerRowDxfId="6403">
  <tableColumns count="6">
    <tableColumn id="1" name="Kolumna1" dataDxfId="6402">
      <calculatedColumnFormula>'Wzorzec kategorii'!B48</calculatedColumnFormula>
    </tableColumn>
    <tableColumn id="2" name="Kolumna2" headerRowDxfId="6401" dataDxfId="6400"/>
    <tableColumn id="3" name="Kolumna3" headerRowDxfId="6399" dataDxfId="6398">
      <calculatedColumnFormula>SUM(Tabela1841111[#This Row])</calculatedColumnFormula>
    </tableColumn>
    <tableColumn id="4" name="Kolumna4" headerRowDxfId="6397" dataDxfId="6396">
      <calculatedColumnFormula>C86-D86</calculatedColumnFormula>
    </tableColumn>
    <tableColumn id="5" name="Kolumna5" headerRowDxfId="6395" dataDxfId="6394">
      <calculatedColumnFormula>IFERROR(D86/C86,"")</calculatedColumnFormula>
    </tableColumn>
    <tableColumn id="6" name="Kolumna6" headerRowDxfId="6393" dataDxfId="6392"/>
  </tableColumns>
  <tableStyleInfo name="TableStyleLight9" showFirstColumn="0" showLastColumn="0" showRowStripes="1" showColumnStripes="0"/>
</table>
</file>

<file path=xl/tables/table127.xml><?xml version="1.0" encoding="utf-8"?>
<table xmlns="http://schemas.openxmlformats.org/spreadsheetml/2006/main" id="101" name="Tabela832102" displayName="Tabela832102" ref="B110:G119" headerRowCount="0" totalsRowShown="0">
  <tableColumns count="6">
    <tableColumn id="1" name="Kolumna1" headerRowDxfId="6391" dataDxfId="6390">
      <calculatedColumnFormula>'Wzorzec kategorii'!B72</calculatedColumnFormula>
    </tableColumn>
    <tableColumn id="2" name="Kolumna2" dataDxfId="6389"/>
    <tableColumn id="3" name="Kolumna3" dataDxfId="6388">
      <calculatedColumnFormula>SUM(Tabela192143113[#This Row])</calculatedColumnFormula>
    </tableColumn>
    <tableColumn id="4" name="Kolumna4" dataDxfId="6387">
      <calculatedColumnFormula>C110-D110</calculatedColumnFormula>
    </tableColumn>
    <tableColumn id="5" name="Kolumna5" dataDxfId="6386">
      <calculatedColumnFormula>IFERROR(D110/C110,"")</calculatedColumnFormula>
    </tableColumn>
    <tableColumn id="6" name="Kolumna6" dataDxfId="6385"/>
  </tableColumns>
  <tableStyleInfo name="TableStyleLight9" showFirstColumn="0" showLastColumn="0" showRowStripes="1" showColumnStripes="0"/>
</table>
</file>

<file path=xl/tables/table128.xml><?xml version="1.0" encoding="utf-8"?>
<table xmlns="http://schemas.openxmlformats.org/spreadsheetml/2006/main" id="102" name="Tabela933103" displayName="Tabela933103" ref="B122:G131" headerRowCount="0" totalsRowShown="0">
  <tableColumns count="6">
    <tableColumn id="1" name="Kolumna1" headerRowDxfId="6384" dataDxfId="6383">
      <calculatedColumnFormula>'Wzorzec kategorii'!B84</calculatedColumnFormula>
    </tableColumn>
    <tableColumn id="2" name="Kolumna2" dataDxfId="6382"/>
    <tableColumn id="3" name="Kolumna3" dataDxfId="6381">
      <calculatedColumnFormula>SUM(Tabela19212547117[#This Row])</calculatedColumnFormula>
    </tableColumn>
    <tableColumn id="4" name="Kolumna4" dataDxfId="6380">
      <calculatedColumnFormula>C122-D122</calculatedColumnFormula>
    </tableColumn>
    <tableColumn id="5" name="Kolumna5" dataDxfId="6379">
      <calculatedColumnFormula>IFERROR(D122/C122,"")</calculatedColumnFormula>
    </tableColumn>
    <tableColumn id="6" name="Kolumna6" dataDxfId="6378"/>
  </tableColumns>
  <tableStyleInfo name="TableStyleLight9" showFirstColumn="0" showLastColumn="0" showRowStripes="1" showColumnStripes="0"/>
</table>
</file>

<file path=xl/tables/table129.xml><?xml version="1.0" encoding="utf-8"?>
<table xmlns="http://schemas.openxmlformats.org/spreadsheetml/2006/main" id="103" name="Tabela1034104" displayName="Tabela1034104" ref="B134:G143" headerRowCount="0" totalsRowShown="0">
  <tableColumns count="6">
    <tableColumn id="1" name="Kolumna1" headerRowDxfId="6377" dataDxfId="6376">
      <calculatedColumnFormula>'Wzorzec kategorii'!B96</calculatedColumnFormula>
    </tableColumn>
    <tableColumn id="2" name="Kolumna2" dataDxfId="6375"/>
    <tableColumn id="3" name="Kolumna3" dataDxfId="6374">
      <calculatedColumnFormula>SUM(Tabela19212446116[#This Row])</calculatedColumnFormula>
    </tableColumn>
    <tableColumn id="4" name="Kolumna4" dataDxfId="6373">
      <calculatedColumnFormula>C134-D134</calculatedColumnFormula>
    </tableColumn>
    <tableColumn id="5" name="Kolumna5" dataDxfId="6372">
      <calculatedColumnFormula>IFERROR(D134/C134,"")</calculatedColumnFormula>
    </tableColumn>
    <tableColumn id="6" name="Kolumna6" dataDxfId="6371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5" name="Tabela15" displayName="Tabela15" ref="B147:G152" headerRowCount="0" totalsRowShown="0">
  <tableColumns count="6">
    <tableColumn id="1" name="Kolumna1" dataDxfId="8286"/>
    <tableColumn id="2" name="Kolumna2" dataDxfId="8285"/>
    <tableColumn id="3" name="Kolumna3" dataDxfId="8284">
      <calculatedColumnFormula>SUM(Tabela28[#This Row])</calculatedColumnFormula>
    </tableColumn>
    <tableColumn id="4" name="Kolumna4" dataDxfId="8283">
      <calculatedColumnFormula>C147-D147</calculatedColumnFormula>
    </tableColumn>
    <tableColumn id="5" name="Kolumna5" dataDxfId="8282">
      <calculatedColumnFormula>IFERROR(D147/C147,"")</calculatedColumnFormula>
    </tableColumn>
    <tableColumn id="6" name="Kolumna6" dataDxfId="8281"/>
  </tableColumns>
  <tableStyleInfo name="TableStyleLight9" showFirstColumn="0" showLastColumn="0" showRowStripes="1" showColumnStripes="0"/>
</table>
</file>

<file path=xl/tables/table130.xml><?xml version="1.0" encoding="utf-8"?>
<table xmlns="http://schemas.openxmlformats.org/spreadsheetml/2006/main" id="104" name="Tabela1135105" displayName="Tabela1135105" ref="B146:G155" headerRowCount="0" totalsRowShown="0">
  <tableColumns count="6">
    <tableColumn id="1" name="Kolumna1" dataDxfId="6370">
      <calculatedColumnFormula>'Wzorzec kategorii'!B108</calculatedColumnFormula>
    </tableColumn>
    <tableColumn id="2" name="Kolumna2" dataDxfId="6369"/>
    <tableColumn id="3" name="Kolumna3" dataDxfId="6368">
      <calculatedColumnFormula>SUM(Tabela192244114[#This Row])</calculatedColumnFormula>
    </tableColumn>
    <tableColumn id="4" name="Kolumna4" dataDxfId="6367">
      <calculatedColumnFormula>C146-D146</calculatedColumnFormula>
    </tableColumn>
    <tableColumn id="5" name="Kolumna5" dataDxfId="6366">
      <calculatedColumnFormula>IFERROR(D146/C146,"")</calculatedColumnFormula>
    </tableColumn>
    <tableColumn id="6" name="Kolumna6" dataDxfId="6365"/>
  </tableColumns>
  <tableStyleInfo name="TableStyleLight9" showFirstColumn="0" showLastColumn="0" showRowStripes="1" showColumnStripes="0"/>
</table>
</file>

<file path=xl/tables/table131.xml><?xml version="1.0" encoding="utf-8"?>
<table xmlns="http://schemas.openxmlformats.org/spreadsheetml/2006/main" id="105" name="Tabela1236106" displayName="Tabela1236106" ref="B158:G167" headerRowCount="0" totalsRowShown="0">
  <tableColumns count="6">
    <tableColumn id="1" name="Kolumna1" dataDxfId="6364">
      <calculatedColumnFormula>'Wzorzec kategorii'!B120</calculatedColumnFormula>
    </tableColumn>
    <tableColumn id="2" name="Kolumna2" dataDxfId="6363"/>
    <tableColumn id="3" name="Kolumna3" dataDxfId="6362">
      <calculatedColumnFormula>SUM(Tabela2548118[#This Row])</calculatedColumnFormula>
    </tableColumn>
    <tableColumn id="4" name="Kolumna4" dataDxfId="6361">
      <calculatedColumnFormula>C158-D158</calculatedColumnFormula>
    </tableColumn>
    <tableColumn id="5" name="Kolumna5" dataDxfId="6360">
      <calculatedColumnFormula>IFERROR(D158/C158,"")</calculatedColumnFormula>
    </tableColumn>
    <tableColumn id="6" name="Kolumna6"/>
  </tableColumns>
  <tableStyleInfo name="TableStyleLight9" showFirstColumn="0" showLastColumn="0" showRowStripes="1" showColumnStripes="0"/>
</table>
</file>

<file path=xl/tables/table132.xml><?xml version="1.0" encoding="utf-8"?>
<table xmlns="http://schemas.openxmlformats.org/spreadsheetml/2006/main" id="106" name="Tabela1337107" displayName="Tabela1337107" ref="B170:G179" headerRowCount="0" totalsRowShown="0">
  <tableColumns count="6">
    <tableColumn id="1" name="Kolumna1" dataDxfId="6359">
      <calculatedColumnFormula>'Wzorzec kategorii'!B132</calculatedColumnFormula>
    </tableColumn>
    <tableColumn id="2" name="Kolumna2" dataDxfId="6358"/>
    <tableColumn id="3" name="Kolumna3" dataDxfId="6357">
      <calculatedColumnFormula>SUM(Tabela2649119[#This Row])</calculatedColumnFormula>
    </tableColumn>
    <tableColumn id="4" name="Kolumna4" dataDxfId="6356">
      <calculatedColumnFormula>C170-D170</calculatedColumnFormula>
    </tableColumn>
    <tableColumn id="5" name="Kolumna5" dataDxfId="6355">
      <calculatedColumnFormula>IFERROR(D170/C170,"")</calculatedColumnFormula>
    </tableColumn>
    <tableColumn id="6" name="Kolumna6" dataDxfId="6354"/>
  </tableColumns>
  <tableStyleInfo name="TableStyleLight9" showFirstColumn="0" showLastColumn="0" showRowStripes="1" showColumnStripes="0"/>
</table>
</file>

<file path=xl/tables/table133.xml><?xml version="1.0" encoding="utf-8"?>
<table xmlns="http://schemas.openxmlformats.org/spreadsheetml/2006/main" id="107" name="Tabela1438108" displayName="Tabela1438108" ref="B182:G191" headerRowCount="0" totalsRowShown="0">
  <tableColumns count="6">
    <tableColumn id="1" name="Kolumna1" dataDxfId="6353">
      <calculatedColumnFormula>'Wzorzec kategorii'!B144</calculatedColumnFormula>
    </tableColumn>
    <tableColumn id="2" name="Kolumna2" dataDxfId="6352"/>
    <tableColumn id="3" name="Kolumna3" dataDxfId="6351">
      <calculatedColumnFormula>SUM(Tabela2750120[#This Row])</calculatedColumnFormula>
    </tableColumn>
    <tableColumn id="4" name="Kolumna4" dataDxfId="6350">
      <calculatedColumnFormula>C182-D182</calculatedColumnFormula>
    </tableColumn>
    <tableColumn id="5" name="Kolumna5" dataDxfId="6349">
      <calculatedColumnFormula>IFERROR(D182/C182,"")</calculatedColumnFormula>
    </tableColumn>
    <tableColumn id="6" name="Kolumna6" dataDxfId="6348"/>
  </tableColumns>
  <tableStyleInfo name="TableStyleLight9" showFirstColumn="0" showLastColumn="0" showRowStripes="1" showColumnStripes="0"/>
</table>
</file>

<file path=xl/tables/table134.xml><?xml version="1.0" encoding="utf-8"?>
<table xmlns="http://schemas.openxmlformats.org/spreadsheetml/2006/main" id="108" name="Tabela1539109" displayName="Tabela1539109" ref="B194:G203" headerRowCount="0" totalsRowShown="0">
  <tableColumns count="6">
    <tableColumn id="1" name="Kolumna1" dataDxfId="6347">
      <calculatedColumnFormula>'Wzorzec kategorii'!B156</calculatedColumnFormula>
    </tableColumn>
    <tableColumn id="2" name="Kolumna2" dataDxfId="6346"/>
    <tableColumn id="3" name="Kolumna3" dataDxfId="6345">
      <calculatedColumnFormula>SUM(Tabela2851121[#This Row])</calculatedColumnFormula>
    </tableColumn>
    <tableColumn id="4" name="Kolumna4" dataDxfId="6344">
      <calculatedColumnFormula>C194-D194</calculatedColumnFormula>
    </tableColumn>
    <tableColumn id="5" name="Kolumna5" dataDxfId="6343">
      <calculatedColumnFormula>IFERROR(D194/C194,"")</calculatedColumnFormula>
    </tableColumn>
    <tableColumn id="6" name="Kolumna6" dataDxfId="6342"/>
  </tableColumns>
  <tableStyleInfo name="TableStyleLight9" showFirstColumn="0" showLastColumn="0" showRowStripes="1" showColumnStripes="0"/>
</table>
</file>

<file path=xl/tables/table135.xml><?xml version="1.0" encoding="utf-8"?>
<table xmlns="http://schemas.openxmlformats.org/spreadsheetml/2006/main" id="109" name="Tabela1640110" displayName="Tabela1640110" ref="B206:G215" headerRowCount="0" totalsRowShown="0">
  <tableColumns count="6">
    <tableColumn id="1" name="Kolumna1" dataDxfId="6341">
      <calculatedColumnFormula>'Wzorzec kategorii'!B168</calculatedColumnFormula>
    </tableColumn>
    <tableColumn id="2" name="Kolumna2" dataDxfId="6340"/>
    <tableColumn id="3" name="Kolumna3" dataDxfId="6339">
      <calculatedColumnFormula>SUM(Tabela192345115[#This Row])</calculatedColumnFormula>
    </tableColumn>
    <tableColumn id="4" name="Kolumna4" dataDxfId="6338">
      <calculatedColumnFormula>C206-D206</calculatedColumnFormula>
    </tableColumn>
    <tableColumn id="5" name="Kolumna5" dataDxfId="6337">
      <calculatedColumnFormula>IFERROR(D206/C206,"")</calculatedColumnFormula>
    </tableColumn>
    <tableColumn id="6" name="Kolumna6" dataDxfId="6336"/>
  </tableColumns>
  <tableStyleInfo name="TableStyleLight9" showFirstColumn="0" showLastColumn="0" showRowStripes="1" showColumnStripes="0"/>
</table>
</file>

<file path=xl/tables/table136.xml><?xml version="1.0" encoding="utf-8"?>
<table xmlns="http://schemas.openxmlformats.org/spreadsheetml/2006/main" id="110" name="Tabela1841111" displayName="Tabela1841111" ref="I85:AM95" totalsRowShown="0" headerRowDxfId="6335" dataDxfId="6333" headerRowBorderDxfId="6334">
  <autoFilter ref="I85:AM9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332"/>
    <tableColumn id="2" name="2" dataDxfId="6331"/>
    <tableColumn id="3" name="3" dataDxfId="6330"/>
    <tableColumn id="4" name="4" dataDxfId="6329"/>
    <tableColumn id="5" name="5" dataDxfId="6328"/>
    <tableColumn id="6" name="6" dataDxfId="6327"/>
    <tableColumn id="7" name="7" dataDxfId="6326"/>
    <tableColumn id="8" name="8" dataDxfId="6325"/>
    <tableColumn id="9" name="9" dataDxfId="6324"/>
    <tableColumn id="10" name="10" dataDxfId="6323"/>
    <tableColumn id="11" name="11" dataDxfId="6322"/>
    <tableColumn id="12" name="12" dataDxfId="6321"/>
    <tableColumn id="13" name="13" dataDxfId="6320"/>
    <tableColumn id="14" name="14" dataDxfId="6319"/>
    <tableColumn id="15" name="15" dataDxfId="6318"/>
    <tableColumn id="16" name="16" dataDxfId="6317"/>
    <tableColumn id="17" name="17" dataDxfId="6316"/>
    <tableColumn id="18" name="18" dataDxfId="6315"/>
    <tableColumn id="19" name="19" dataDxfId="6314"/>
    <tableColumn id="20" name="20" dataDxfId="6313"/>
    <tableColumn id="21" name="21" dataDxfId="6312"/>
    <tableColumn id="22" name="22" dataDxfId="6311"/>
    <tableColumn id="23" name="23" dataDxfId="6310"/>
    <tableColumn id="24" name="24" dataDxfId="6309"/>
    <tableColumn id="25" name="25" dataDxfId="6308"/>
    <tableColumn id="26" name="26" dataDxfId="6307"/>
    <tableColumn id="27" name="27" dataDxfId="6306"/>
    <tableColumn id="28" name="28" dataDxfId="6305"/>
    <tableColumn id="29" name="29" dataDxfId="6304"/>
    <tableColumn id="30" name="30" dataDxfId="6303"/>
    <tableColumn id="31" name="31" dataDxfId="6302"/>
  </tableColumns>
  <tableStyleInfo name="TableStyleMedium9" showFirstColumn="0" showLastColumn="0" showRowStripes="1" showColumnStripes="0"/>
</table>
</file>

<file path=xl/tables/table137.xml><?xml version="1.0" encoding="utf-8"?>
<table xmlns="http://schemas.openxmlformats.org/spreadsheetml/2006/main" id="111" name="Tabela1942112" displayName="Tabela1942112" ref="I97:AM107" totalsRowShown="0" headerRowDxfId="6301" dataDxfId="6299" headerRowBorderDxfId="6300">
  <autoFilter ref="I97:AM10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298"/>
    <tableColumn id="2" name="2" dataDxfId="6297"/>
    <tableColumn id="3" name="3" dataDxfId="6296"/>
    <tableColumn id="4" name="4" dataDxfId="6295"/>
    <tableColumn id="5" name="5" dataDxfId="6294"/>
    <tableColumn id="6" name="6" dataDxfId="6293"/>
    <tableColumn id="7" name="7" dataDxfId="6292"/>
    <tableColumn id="8" name="8" dataDxfId="6291"/>
    <tableColumn id="9" name="9" dataDxfId="6290"/>
    <tableColumn id="10" name="10" dataDxfId="6289"/>
    <tableColumn id="11" name="11" dataDxfId="6288"/>
    <tableColumn id="12" name="12" dataDxfId="6287"/>
    <tableColumn id="13" name="13" dataDxfId="6286"/>
    <tableColumn id="14" name="14" dataDxfId="6285"/>
    <tableColumn id="15" name="15" dataDxfId="6284"/>
    <tableColumn id="16" name="16" dataDxfId="6283"/>
    <tableColumn id="17" name="17" dataDxfId="6282"/>
    <tableColumn id="18" name="18" dataDxfId="6281"/>
    <tableColumn id="19" name="19" dataDxfId="6280"/>
    <tableColumn id="20" name="20" dataDxfId="6279"/>
    <tableColumn id="21" name="21" dataDxfId="6278"/>
    <tableColumn id="22" name="22" dataDxfId="6277"/>
    <tableColumn id="23" name="23" dataDxfId="6276"/>
    <tableColumn id="24" name="24" dataDxfId="6275"/>
    <tableColumn id="25" name="25" dataDxfId="6274"/>
    <tableColumn id="26" name="26" dataDxfId="6273"/>
    <tableColumn id="27" name="27" dataDxfId="6272"/>
    <tableColumn id="28" name="28" dataDxfId="6271"/>
    <tableColumn id="29" name="29" dataDxfId="6270"/>
    <tableColumn id="30" name="30" dataDxfId="6269"/>
    <tableColumn id="31" name="31" dataDxfId="6268"/>
  </tableColumns>
  <tableStyleInfo name="TableStyleMedium9" showFirstColumn="0" showLastColumn="0" showRowStripes="1" showColumnStripes="0"/>
</table>
</file>

<file path=xl/tables/table138.xml><?xml version="1.0" encoding="utf-8"?>
<table xmlns="http://schemas.openxmlformats.org/spreadsheetml/2006/main" id="112" name="Tabela192143113" displayName="Tabela192143113" ref="I109:AM119" totalsRowShown="0" headerRowDxfId="6267" dataDxfId="6265" headerRowBorderDxfId="6266">
  <autoFilter ref="I109:AM1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264"/>
    <tableColumn id="2" name="2" dataDxfId="6263"/>
    <tableColumn id="3" name="3" dataDxfId="6262"/>
    <tableColumn id="4" name="4" dataDxfId="6261"/>
    <tableColumn id="5" name="5" dataDxfId="6260"/>
    <tableColumn id="6" name="6" dataDxfId="6259"/>
    <tableColumn id="7" name="7" dataDxfId="6258"/>
    <tableColumn id="8" name="8" dataDxfId="6257"/>
    <tableColumn id="9" name="9" dataDxfId="6256"/>
    <tableColumn id="10" name="10" dataDxfId="6255"/>
    <tableColumn id="11" name="11" dataDxfId="6254"/>
    <tableColumn id="12" name="12" dataDxfId="6253"/>
    <tableColumn id="13" name="13" dataDxfId="6252"/>
    <tableColumn id="14" name="14" dataDxfId="6251"/>
    <tableColumn id="15" name="15" dataDxfId="6250"/>
    <tableColumn id="16" name="16" dataDxfId="6249"/>
    <tableColumn id="17" name="17" dataDxfId="6248"/>
    <tableColumn id="18" name="18" dataDxfId="6247"/>
    <tableColumn id="19" name="19" dataDxfId="6246"/>
    <tableColumn id="20" name="20" dataDxfId="6245"/>
    <tableColumn id="21" name="21" dataDxfId="6244"/>
    <tableColumn id="22" name="22" dataDxfId="6243"/>
    <tableColumn id="23" name="23" dataDxfId="6242"/>
    <tableColumn id="24" name="24" dataDxfId="6241"/>
    <tableColumn id="25" name="25" dataDxfId="6240"/>
    <tableColumn id="26" name="26" dataDxfId="6239"/>
    <tableColumn id="27" name="27" dataDxfId="6238"/>
    <tableColumn id="28" name="28" dataDxfId="6237"/>
    <tableColumn id="29" name="29" dataDxfId="6236"/>
    <tableColumn id="30" name="30" dataDxfId="6235"/>
    <tableColumn id="31" name="31" dataDxfId="6234"/>
  </tableColumns>
  <tableStyleInfo name="TableStyleMedium9" showFirstColumn="0" showLastColumn="0" showRowStripes="1" showColumnStripes="0"/>
</table>
</file>

<file path=xl/tables/table139.xml><?xml version="1.0" encoding="utf-8"?>
<table xmlns="http://schemas.openxmlformats.org/spreadsheetml/2006/main" id="113" name="Tabela192244114" displayName="Tabela192244114" ref="I145:AM155" totalsRowShown="0" headerRowDxfId="6233" dataDxfId="6231" headerRowBorderDxfId="6232">
  <autoFilter ref="I145:AM1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230"/>
    <tableColumn id="2" name="2" dataDxfId="6229"/>
    <tableColumn id="3" name="3" dataDxfId="6228"/>
    <tableColumn id="4" name="4" dataDxfId="6227"/>
    <tableColumn id="5" name="5" dataDxfId="6226"/>
    <tableColumn id="6" name="6" dataDxfId="6225"/>
    <tableColumn id="7" name="7" dataDxfId="6224"/>
    <tableColumn id="8" name="8" dataDxfId="6223"/>
    <tableColumn id="9" name="9" dataDxfId="6222"/>
    <tableColumn id="10" name="10" dataDxfId="6221"/>
    <tableColumn id="11" name="11" dataDxfId="6220"/>
    <tableColumn id="12" name="12" dataDxfId="6219"/>
    <tableColumn id="13" name="13" dataDxfId="6218"/>
    <tableColumn id="14" name="14" dataDxfId="6217"/>
    <tableColumn id="15" name="15" dataDxfId="6216"/>
    <tableColumn id="16" name="16" dataDxfId="6215"/>
    <tableColumn id="17" name="17" dataDxfId="6214"/>
    <tableColumn id="18" name="18" dataDxfId="6213"/>
    <tableColumn id="19" name="19" dataDxfId="6212"/>
    <tableColumn id="20" name="20" dataDxfId="6211"/>
    <tableColumn id="21" name="21" dataDxfId="6210"/>
    <tableColumn id="22" name="22" dataDxfId="6209"/>
    <tableColumn id="23" name="23" dataDxfId="6208"/>
    <tableColumn id="24" name="24" dataDxfId="6207"/>
    <tableColumn id="25" name="25" dataDxfId="6206"/>
    <tableColumn id="26" name="26" dataDxfId="6205"/>
    <tableColumn id="27" name="27" dataDxfId="6204"/>
    <tableColumn id="28" name="28" dataDxfId="6203"/>
    <tableColumn id="29" name="29" dataDxfId="6202"/>
    <tableColumn id="30" name="30" dataDxfId="6201"/>
    <tableColumn id="31" name="31" dataDxfId="6200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6" name="Tabela16" displayName="Tabela16" ref="B155:G162" headerRowCount="0" totalsRowShown="0">
  <tableColumns count="6">
    <tableColumn id="1" name="Kolumna1" dataDxfId="8280"/>
    <tableColumn id="2" name="Kolumna2" dataDxfId="8279"/>
    <tableColumn id="3" name="Kolumna3" dataDxfId="8278">
      <calculatedColumnFormula>SUM(Tabela1923[#This Row])</calculatedColumnFormula>
    </tableColumn>
    <tableColumn id="4" name="Kolumna4" dataDxfId="8277">
      <calculatedColumnFormula>C155-D155</calculatedColumnFormula>
    </tableColumn>
    <tableColumn id="5" name="Kolumna5" dataDxfId="8276">
      <calculatedColumnFormula>IFERROR(D155/C155,"")</calculatedColumnFormula>
    </tableColumn>
    <tableColumn id="6" name="Kolumna6" dataDxfId="8275"/>
  </tableColumns>
  <tableStyleInfo name="TableStyleLight9" showFirstColumn="0" showLastColumn="0" showRowStripes="1" showColumnStripes="0"/>
</table>
</file>

<file path=xl/tables/table140.xml><?xml version="1.0" encoding="utf-8"?>
<table xmlns="http://schemas.openxmlformats.org/spreadsheetml/2006/main" id="114" name="Tabela192345115" displayName="Tabela192345115" ref="I205:AM215" totalsRowShown="0" headerRowDxfId="6199" dataDxfId="6197" headerRowBorderDxfId="6198">
  <autoFilter ref="I205:AM2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196"/>
    <tableColumn id="2" name="2" dataDxfId="6195"/>
    <tableColumn id="3" name="3" dataDxfId="6194"/>
    <tableColumn id="4" name="4" dataDxfId="6193"/>
    <tableColumn id="5" name="5" dataDxfId="6192"/>
    <tableColumn id="6" name="6" dataDxfId="6191"/>
    <tableColumn id="7" name="7" dataDxfId="6190"/>
    <tableColumn id="8" name="8" dataDxfId="6189"/>
    <tableColumn id="9" name="9" dataDxfId="6188"/>
    <tableColumn id="10" name="10" dataDxfId="6187"/>
    <tableColumn id="11" name="11" dataDxfId="6186"/>
    <tableColumn id="12" name="12" dataDxfId="6185"/>
    <tableColumn id="13" name="13" dataDxfId="6184"/>
    <tableColumn id="14" name="14" dataDxfId="6183"/>
    <tableColumn id="15" name="15" dataDxfId="6182"/>
    <tableColumn id="16" name="16" dataDxfId="6181"/>
    <tableColumn id="17" name="17" dataDxfId="6180"/>
    <tableColumn id="18" name="18" dataDxfId="6179"/>
    <tableColumn id="19" name="19" dataDxfId="6178"/>
    <tableColumn id="20" name="20" dataDxfId="6177"/>
    <tableColumn id="21" name="21" dataDxfId="6176"/>
    <tableColumn id="22" name="22" dataDxfId="6175"/>
    <tableColumn id="23" name="23" dataDxfId="6174"/>
    <tableColumn id="24" name="24" dataDxfId="6173"/>
    <tableColumn id="25" name="25" dataDxfId="6172"/>
    <tableColumn id="26" name="26" dataDxfId="6171"/>
    <tableColumn id="27" name="27" dataDxfId="6170"/>
    <tableColumn id="28" name="28" dataDxfId="6169"/>
    <tableColumn id="29" name="29" dataDxfId="6168"/>
    <tableColumn id="30" name="30" dataDxfId="6167"/>
    <tableColumn id="31" name="31" dataDxfId="6166"/>
  </tableColumns>
  <tableStyleInfo name="TableStyleMedium9" showFirstColumn="0" showLastColumn="0" showRowStripes="1" showColumnStripes="0"/>
</table>
</file>

<file path=xl/tables/table141.xml><?xml version="1.0" encoding="utf-8"?>
<table xmlns="http://schemas.openxmlformats.org/spreadsheetml/2006/main" id="115" name="Tabela19212446116" displayName="Tabela19212446116" ref="I133:AM143" totalsRowShown="0" headerRowDxfId="6165" dataDxfId="6163" headerRowBorderDxfId="6164">
  <autoFilter ref="I133:AM1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162"/>
    <tableColumn id="2" name="2" dataDxfId="6161"/>
    <tableColumn id="3" name="3" dataDxfId="6160"/>
    <tableColumn id="4" name="4" dataDxfId="6159"/>
    <tableColumn id="5" name="5" dataDxfId="6158"/>
    <tableColumn id="6" name="6" dataDxfId="6157"/>
    <tableColumn id="7" name="7" dataDxfId="6156"/>
    <tableColumn id="8" name="8" dataDxfId="6155"/>
    <tableColumn id="9" name="9" dataDxfId="6154"/>
    <tableColumn id="10" name="10" dataDxfId="6153"/>
    <tableColumn id="11" name="11" dataDxfId="6152"/>
    <tableColumn id="12" name="12" dataDxfId="6151"/>
    <tableColumn id="13" name="13" dataDxfId="6150"/>
    <tableColumn id="14" name="14" dataDxfId="6149"/>
    <tableColumn id="15" name="15" dataDxfId="6148"/>
    <tableColumn id="16" name="16" dataDxfId="6147"/>
    <tableColumn id="17" name="17" dataDxfId="6146"/>
    <tableColumn id="18" name="18" dataDxfId="6145"/>
    <tableColumn id="19" name="19" dataDxfId="6144"/>
    <tableColumn id="20" name="20" dataDxfId="6143"/>
    <tableColumn id="21" name="21" dataDxfId="6142"/>
    <tableColumn id="22" name="22" dataDxfId="6141"/>
    <tableColumn id="23" name="23" dataDxfId="6140"/>
    <tableColumn id="24" name="24" dataDxfId="6139"/>
    <tableColumn id="25" name="25" dataDxfId="6138"/>
    <tableColumn id="26" name="26" dataDxfId="6137"/>
    <tableColumn id="27" name="27" dataDxfId="6136"/>
    <tableColumn id="28" name="28" dataDxfId="6135"/>
    <tableColumn id="29" name="29" dataDxfId="6134"/>
    <tableColumn id="30" name="30" dataDxfId="6133"/>
    <tableColumn id="31" name="31" dataDxfId="6132"/>
  </tableColumns>
  <tableStyleInfo name="TableStyleMedium9" showFirstColumn="0" showLastColumn="0" showRowStripes="1" showColumnStripes="0"/>
</table>
</file>

<file path=xl/tables/table142.xml><?xml version="1.0" encoding="utf-8"?>
<table xmlns="http://schemas.openxmlformats.org/spreadsheetml/2006/main" id="116" name="Tabela19212547117" displayName="Tabela19212547117" ref="I121:AM131" totalsRowShown="0" headerRowDxfId="6131" dataDxfId="6129" headerRowBorderDxfId="6130">
  <autoFilter ref="I121:AM1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128"/>
    <tableColumn id="2" name="2" dataDxfId="6127"/>
    <tableColumn id="3" name="3" dataDxfId="6126"/>
    <tableColumn id="4" name="4" dataDxfId="6125"/>
    <tableColumn id="5" name="5" dataDxfId="6124"/>
    <tableColumn id="6" name="6" dataDxfId="6123"/>
    <tableColumn id="7" name="7" dataDxfId="6122"/>
    <tableColumn id="8" name="8" dataDxfId="6121"/>
    <tableColumn id="9" name="9" dataDxfId="6120"/>
    <tableColumn id="10" name="10" dataDxfId="6119"/>
    <tableColumn id="11" name="11" dataDxfId="6118"/>
    <tableColumn id="12" name="12" dataDxfId="6117"/>
    <tableColumn id="13" name="13" dataDxfId="6116"/>
    <tableColumn id="14" name="14" dataDxfId="6115"/>
    <tableColumn id="15" name="15" dataDxfId="6114"/>
    <tableColumn id="16" name="16" dataDxfId="6113"/>
    <tableColumn id="17" name="17" dataDxfId="6112"/>
    <tableColumn id="18" name="18" dataDxfId="6111"/>
    <tableColumn id="19" name="19" dataDxfId="6110"/>
    <tableColumn id="20" name="20" dataDxfId="6109"/>
    <tableColumn id="21" name="21" dataDxfId="6108"/>
    <tableColumn id="22" name="22" dataDxfId="6107"/>
    <tableColumn id="23" name="23" dataDxfId="6106"/>
    <tableColumn id="24" name="24" dataDxfId="6105"/>
    <tableColumn id="25" name="25" dataDxfId="6104"/>
    <tableColumn id="26" name="26" dataDxfId="6103"/>
    <tableColumn id="27" name="27" dataDxfId="6102"/>
    <tableColumn id="28" name="28" dataDxfId="6101"/>
    <tableColumn id="29" name="29" dataDxfId="6100"/>
    <tableColumn id="30" name="30" dataDxfId="6099"/>
    <tableColumn id="31" name="31" dataDxfId="6098"/>
  </tableColumns>
  <tableStyleInfo name="TableStyleMedium9" showFirstColumn="0" showLastColumn="0" showRowStripes="1" showColumnStripes="0"/>
</table>
</file>

<file path=xl/tables/table143.xml><?xml version="1.0" encoding="utf-8"?>
<table xmlns="http://schemas.openxmlformats.org/spreadsheetml/2006/main" id="117" name="Tabela2548118" displayName="Tabela2548118" ref="I157:AM167" totalsRowShown="0" headerRowDxfId="6097" dataDxfId="6096">
  <autoFilter ref="I157:AM1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095"/>
    <tableColumn id="2" name="2" dataDxfId="6094"/>
    <tableColumn id="3" name="3" dataDxfId="6093"/>
    <tableColumn id="4" name="4" dataDxfId="6092"/>
    <tableColumn id="5" name="5" dataDxfId="6091"/>
    <tableColumn id="6" name="6" dataDxfId="6090"/>
    <tableColumn id="7" name="7" dataDxfId="6089"/>
    <tableColumn id="8" name="8" dataDxfId="6088"/>
    <tableColumn id="9" name="9" dataDxfId="6087"/>
    <tableColumn id="10" name="10" dataDxfId="6086"/>
    <tableColumn id="11" name="11" dataDxfId="6085"/>
    <tableColumn id="12" name="12" dataDxfId="6084"/>
    <tableColumn id="13" name="13" dataDxfId="6083"/>
    <tableColumn id="14" name="14" dataDxfId="6082"/>
    <tableColumn id="15" name="15" dataDxfId="6081"/>
    <tableColumn id="16" name="16" dataDxfId="6080"/>
    <tableColumn id="17" name="17" dataDxfId="6079"/>
    <tableColumn id="18" name="18" dataDxfId="6078"/>
    <tableColumn id="19" name="19" dataDxfId="6077"/>
    <tableColumn id="20" name="20" dataDxfId="6076"/>
    <tableColumn id="21" name="21" dataDxfId="6075"/>
    <tableColumn id="22" name="22" dataDxfId="6074"/>
    <tableColumn id="23" name="23" dataDxfId="6073"/>
    <tableColumn id="24" name="24" dataDxfId="6072"/>
    <tableColumn id="25" name="25" dataDxfId="6071"/>
    <tableColumn id="26" name="26" dataDxfId="6070"/>
    <tableColumn id="27" name="27" dataDxfId="6069"/>
    <tableColumn id="28" name="28" dataDxfId="6068"/>
    <tableColumn id="29" name="29" dataDxfId="6067"/>
    <tableColumn id="30" name="30" dataDxfId="6066"/>
    <tableColumn id="31" name="31" dataDxfId="6065"/>
  </tableColumns>
  <tableStyleInfo name="TableStyleMedium9" showFirstColumn="0" showLastColumn="0" showRowStripes="1" showColumnStripes="0"/>
</table>
</file>

<file path=xl/tables/table144.xml><?xml version="1.0" encoding="utf-8"?>
<table xmlns="http://schemas.openxmlformats.org/spreadsheetml/2006/main" id="118" name="Tabela2649119" displayName="Tabela2649119" ref="I169:AM179" totalsRowShown="0" headerRowDxfId="6064" headerRowBorderDxfId="6063">
  <autoFilter ref="I169:AM1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062"/>
    <tableColumn id="2" name="2" dataDxfId="6061"/>
    <tableColumn id="3" name="3" dataDxfId="6060"/>
    <tableColumn id="4" name="4" dataDxfId="6059"/>
    <tableColumn id="5" name="5" dataDxfId="6058"/>
    <tableColumn id="6" name="6" dataDxfId="6057"/>
    <tableColumn id="7" name="7" dataDxfId="6056"/>
    <tableColumn id="8" name="8" dataDxfId="6055"/>
    <tableColumn id="9" name="9" dataDxfId="6054"/>
    <tableColumn id="10" name="10" dataDxfId="6053"/>
    <tableColumn id="11" name="11" dataDxfId="6052"/>
    <tableColumn id="12" name="12" dataDxfId="6051"/>
    <tableColumn id="13" name="13" dataDxfId="6050"/>
    <tableColumn id="14" name="14" dataDxfId="6049"/>
    <tableColumn id="15" name="15" dataDxfId="6048"/>
    <tableColumn id="16" name="16" dataDxfId="6047"/>
    <tableColumn id="17" name="17" dataDxfId="6046"/>
    <tableColumn id="18" name="18" dataDxfId="6045"/>
    <tableColumn id="19" name="19" dataDxfId="6044"/>
    <tableColumn id="20" name="20" dataDxfId="6043"/>
    <tableColumn id="21" name="21" dataDxfId="6042"/>
    <tableColumn id="22" name="22" dataDxfId="6041"/>
    <tableColumn id="23" name="23" dataDxfId="6040"/>
    <tableColumn id="24" name="24" dataDxfId="6039"/>
    <tableColumn id="25" name="25" dataDxfId="6038"/>
    <tableColumn id="26" name="26" dataDxfId="6037"/>
    <tableColumn id="27" name="27" dataDxfId="6036"/>
    <tableColumn id="28" name="28" dataDxfId="6035"/>
    <tableColumn id="29" name="29" dataDxfId="6034"/>
    <tableColumn id="30" name="30" dataDxfId="6033"/>
    <tableColumn id="31" name="31" dataDxfId="6032"/>
  </tableColumns>
  <tableStyleInfo name="TableStyleMedium9" showFirstColumn="0" showLastColumn="0" showRowStripes="1" showColumnStripes="0"/>
</table>
</file>

<file path=xl/tables/table145.xml><?xml version="1.0" encoding="utf-8"?>
<table xmlns="http://schemas.openxmlformats.org/spreadsheetml/2006/main" id="119" name="Tabela2750120" displayName="Tabela2750120" ref="I181:AM191" totalsRowShown="0" headerRowDxfId="6031">
  <autoFilter ref="I181:AM19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030"/>
    <tableColumn id="2" name="2" dataDxfId="6029"/>
    <tableColumn id="3" name="3" dataDxfId="6028"/>
    <tableColumn id="4" name="4" dataDxfId="6027"/>
    <tableColumn id="5" name="5" dataDxfId="6026"/>
    <tableColumn id="6" name="6" dataDxfId="6025"/>
    <tableColumn id="7" name="7" dataDxfId="6024"/>
    <tableColumn id="8" name="8" dataDxfId="6023"/>
    <tableColumn id="9" name="9" dataDxfId="6022"/>
    <tableColumn id="10" name="10" dataDxfId="6021"/>
    <tableColumn id="11" name="11" dataDxfId="6020"/>
    <tableColumn id="12" name="12" dataDxfId="6019"/>
    <tableColumn id="13" name="13" dataDxfId="6018"/>
    <tableColumn id="14" name="14" dataDxfId="6017"/>
    <tableColumn id="15" name="15" dataDxfId="6016"/>
    <tableColumn id="16" name="16" dataDxfId="6015"/>
    <tableColumn id="17" name="17" dataDxfId="6014"/>
    <tableColumn id="18" name="18" dataDxfId="6013"/>
    <tableColumn id="19" name="19" dataDxfId="6012"/>
    <tableColumn id="20" name="20" dataDxfId="6011"/>
    <tableColumn id="21" name="21" dataDxfId="6010"/>
    <tableColumn id="22" name="22" dataDxfId="6009"/>
    <tableColumn id="23" name="23" dataDxfId="6008"/>
    <tableColumn id="24" name="24" dataDxfId="6007"/>
    <tableColumn id="25" name="25" dataDxfId="6006"/>
    <tableColumn id="26" name="26" dataDxfId="6005"/>
    <tableColumn id="27" name="27" dataDxfId="6004"/>
    <tableColumn id="28" name="28" dataDxfId="6003"/>
    <tableColumn id="29" name="29" dataDxfId="6002"/>
    <tableColumn id="30" name="30" dataDxfId="6001"/>
    <tableColumn id="31" name="31" dataDxfId="6000"/>
  </tableColumns>
  <tableStyleInfo name="TableStyleMedium9" showFirstColumn="0" showLastColumn="0" showRowStripes="1" showColumnStripes="0"/>
</table>
</file>

<file path=xl/tables/table146.xml><?xml version="1.0" encoding="utf-8"?>
<table xmlns="http://schemas.openxmlformats.org/spreadsheetml/2006/main" id="120" name="Tabela2851121" displayName="Tabela2851121" ref="I193:AM203" totalsRowShown="0" headerRowDxfId="5999" dataDxfId="5997" headerRowBorderDxfId="5998">
  <autoFilter ref="I193:AM20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996"/>
    <tableColumn id="2" name="2" dataDxfId="5995"/>
    <tableColumn id="3" name="3" dataDxfId="5994"/>
    <tableColumn id="4" name="4" dataDxfId="5993"/>
    <tableColumn id="5" name="5" dataDxfId="5992"/>
    <tableColumn id="6" name="6" dataDxfId="5991"/>
    <tableColumn id="7" name="7" dataDxfId="5990"/>
    <tableColumn id="8" name="8" dataDxfId="5989"/>
    <tableColumn id="9" name="9" dataDxfId="5988"/>
    <tableColumn id="10" name="10" dataDxfId="5987"/>
    <tableColumn id="11" name="11" dataDxfId="5986"/>
    <tableColumn id="12" name="12" dataDxfId="5985"/>
    <tableColumn id="13" name="13" dataDxfId="5984"/>
    <tableColumn id="14" name="14" dataDxfId="5983"/>
    <tableColumn id="15" name="15" dataDxfId="5982"/>
    <tableColumn id="16" name="16" dataDxfId="5981"/>
    <tableColumn id="17" name="17" dataDxfId="5980"/>
    <tableColumn id="18" name="18" dataDxfId="5979"/>
    <tableColumn id="19" name="19" dataDxfId="5978"/>
    <tableColumn id="20" name="20" dataDxfId="5977"/>
    <tableColumn id="21" name="21" dataDxfId="5976"/>
    <tableColumn id="22" name="22" dataDxfId="5975"/>
    <tableColumn id="23" name="23" dataDxfId="5974"/>
    <tableColumn id="24" name="24" dataDxfId="5973"/>
    <tableColumn id="25" name="25" dataDxfId="5972"/>
    <tableColumn id="26" name="26" dataDxfId="5971"/>
    <tableColumn id="27" name="27" dataDxfId="5970"/>
    <tableColumn id="28" name="28" dataDxfId="5969"/>
    <tableColumn id="29" name="29" dataDxfId="5968"/>
    <tableColumn id="30" name="30" dataDxfId="5967"/>
    <tableColumn id="31" name="31" dataDxfId="5966"/>
  </tableColumns>
  <tableStyleInfo name="TableStyleMedium9" showFirstColumn="0" showLastColumn="0" showRowStripes="1" showColumnStripes="0"/>
</table>
</file>

<file path=xl/tables/table147.xml><?xml version="1.0" encoding="utf-8"?>
<table xmlns="http://schemas.openxmlformats.org/spreadsheetml/2006/main" id="121" name="Tabela164058122" displayName="Tabela164058122" ref="B218:G227" headerRowCount="0" totalsRowShown="0">
  <tableColumns count="6">
    <tableColumn id="1" name="Kolumna1" dataDxfId="5965">
      <calculatedColumnFormula>'Wzorzec kategorii'!B180</calculatedColumnFormula>
    </tableColumn>
    <tableColumn id="2" name="Kolumna2" dataDxfId="5964"/>
    <tableColumn id="3" name="Kolumna3" dataDxfId="5963">
      <calculatedColumnFormula>SUM(Tabela19234559123[#This Row])</calculatedColumnFormula>
    </tableColumn>
    <tableColumn id="4" name="Kolumna4" dataDxfId="5962">
      <calculatedColumnFormula>C218-D218</calculatedColumnFormula>
    </tableColumn>
    <tableColumn id="5" name="Kolumna5" dataDxfId="5961">
      <calculatedColumnFormula>IFERROR(D218/C218,"")</calculatedColumnFormula>
    </tableColumn>
    <tableColumn id="6" name="Kolumna6" dataDxfId="5960"/>
  </tableColumns>
  <tableStyleInfo name="TableStyleLight9" showFirstColumn="0" showLastColumn="0" showRowStripes="1" showColumnStripes="0"/>
</table>
</file>

<file path=xl/tables/table148.xml><?xml version="1.0" encoding="utf-8"?>
<table xmlns="http://schemas.openxmlformats.org/spreadsheetml/2006/main" id="122" name="Tabela19234559123" displayName="Tabela19234559123" ref="I217:AM227" totalsRowShown="0" headerRowDxfId="5959" dataDxfId="5957" headerRowBorderDxfId="5958">
  <autoFilter ref="I217:AM2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956"/>
    <tableColumn id="2" name="2" dataDxfId="5955"/>
    <tableColumn id="3" name="3" dataDxfId="5954"/>
    <tableColumn id="4" name="4" dataDxfId="5953"/>
    <tableColumn id="5" name="5" dataDxfId="5952"/>
    <tableColumn id="6" name="6" dataDxfId="5951"/>
    <tableColumn id="7" name="7" dataDxfId="5950"/>
    <tableColumn id="8" name="8" dataDxfId="5949"/>
    <tableColumn id="9" name="9" dataDxfId="5948"/>
    <tableColumn id="10" name="10" dataDxfId="5947"/>
    <tableColumn id="11" name="11" dataDxfId="5946"/>
    <tableColumn id="12" name="12" dataDxfId="5945"/>
    <tableColumn id="13" name="13" dataDxfId="5944"/>
    <tableColumn id="14" name="14" dataDxfId="5943"/>
    <tableColumn id="15" name="15" dataDxfId="5942"/>
    <tableColumn id="16" name="16" dataDxfId="5941"/>
    <tableColumn id="17" name="17" dataDxfId="5940"/>
    <tableColumn id="18" name="18" dataDxfId="5939"/>
    <tableColumn id="19" name="19" dataDxfId="5938"/>
    <tableColumn id="20" name="20" dataDxfId="5937"/>
    <tableColumn id="21" name="21" dataDxfId="5936"/>
    <tableColumn id="22" name="22" dataDxfId="5935"/>
    <tableColumn id="23" name="23" dataDxfId="5934"/>
    <tableColumn id="24" name="24" dataDxfId="5933"/>
    <tableColumn id="25" name="25" dataDxfId="5932"/>
    <tableColumn id="26" name="26" dataDxfId="5931"/>
    <tableColumn id="27" name="27" dataDxfId="5930"/>
    <tableColumn id="28" name="28" dataDxfId="5929"/>
    <tableColumn id="29" name="29" dataDxfId="5928"/>
    <tableColumn id="30" name="30" dataDxfId="5927"/>
    <tableColumn id="31" name="31" dataDxfId="5926"/>
  </tableColumns>
  <tableStyleInfo name="TableStyleMedium9" showFirstColumn="0" showLastColumn="0" showRowStripes="1" showColumnStripes="0"/>
</table>
</file>

<file path=xl/tables/table149.xml><?xml version="1.0" encoding="utf-8"?>
<table xmlns="http://schemas.openxmlformats.org/spreadsheetml/2006/main" id="123" name="Tabela16405860124" displayName="Tabela16405860124" ref="B230:G239" headerRowCount="0" totalsRowShown="0">
  <tableColumns count="6">
    <tableColumn id="1" name="Kolumna1" dataDxfId="5925">
      <calculatedColumnFormula>'Wzorzec kategorii'!B192</calculatedColumnFormula>
    </tableColumn>
    <tableColumn id="2" name="Kolumna2" dataDxfId="5924"/>
    <tableColumn id="3" name="Kolumna3" dataDxfId="5923">
      <calculatedColumnFormula>SUM(Tabela1923455962126[#This Row])</calculatedColumnFormula>
    </tableColumn>
    <tableColumn id="4" name="Kolumna4" dataDxfId="5922">
      <calculatedColumnFormula>C230-D230</calculatedColumnFormula>
    </tableColumn>
    <tableColumn id="5" name="Kolumna5" dataDxfId="5921">
      <calculatedColumnFormula>IFERROR(D230/C230,"")</calculatedColumnFormula>
    </tableColumn>
    <tableColumn id="6" name="Kolumna6" dataDxfId="5920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18" name="Tabela18" displayName="Tabela18" ref="I69:AM79" totalsRowShown="0" headerRowDxfId="8274" dataDxfId="8272" headerRowBorderDxfId="8273">
  <autoFilter ref="I69:AM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8271"/>
    <tableColumn id="2" name="2" dataDxfId="8270"/>
    <tableColumn id="3" name="3" dataDxfId="8269"/>
    <tableColumn id="4" name="4" dataDxfId="8268"/>
    <tableColumn id="5" name="5" dataDxfId="8267"/>
    <tableColumn id="6" name="6" dataDxfId="8266"/>
    <tableColumn id="7" name="7" dataDxfId="8265"/>
    <tableColumn id="8" name="8" dataDxfId="8264"/>
    <tableColumn id="9" name="9" dataDxfId="8263"/>
    <tableColumn id="10" name="10" dataDxfId="8262"/>
    <tableColumn id="11" name="11" dataDxfId="8261"/>
    <tableColumn id="12" name="12" dataDxfId="8260"/>
    <tableColumn id="13" name="13" dataDxfId="8259"/>
    <tableColumn id="14" name="14" dataDxfId="8258"/>
    <tableColumn id="15" name="15" dataDxfId="8257"/>
    <tableColumn id="16" name="16" dataDxfId="8256"/>
    <tableColumn id="17" name="17" dataDxfId="8255"/>
    <tableColumn id="18" name="18" dataDxfId="8254"/>
    <tableColumn id="19" name="19" dataDxfId="8253"/>
    <tableColumn id="20" name="20" dataDxfId="8252"/>
    <tableColumn id="21" name="21" dataDxfId="8251"/>
    <tableColumn id="22" name="22" dataDxfId="8250"/>
    <tableColumn id="23" name="23" dataDxfId="8249"/>
    <tableColumn id="24" name="24" dataDxfId="8248"/>
    <tableColumn id="25" name="25" dataDxfId="8247"/>
    <tableColumn id="26" name="26" dataDxfId="8246"/>
    <tableColumn id="27" name="27" dataDxfId="8245"/>
    <tableColumn id="28" name="28" dataDxfId="8244"/>
    <tableColumn id="29" name="29" dataDxfId="8243"/>
    <tableColumn id="30" name="30" dataDxfId="8242"/>
    <tableColumn id="31" name="31" dataDxfId="8241"/>
  </tableColumns>
  <tableStyleInfo name="TableStyleMedium9" showFirstColumn="0" showLastColumn="0" showRowStripes="1" showColumnStripes="0"/>
</table>
</file>

<file path=xl/tables/table150.xml><?xml version="1.0" encoding="utf-8"?>
<table xmlns="http://schemas.openxmlformats.org/spreadsheetml/2006/main" id="124" name="Tabela1640586061125" displayName="Tabela1640586061125" ref="B242:G251" headerRowCount="0" totalsRowShown="0">
  <tableColumns count="6">
    <tableColumn id="1" name="Kolumna1" dataDxfId="5919">
      <calculatedColumnFormula>'Wzorzec kategorii'!B204</calculatedColumnFormula>
    </tableColumn>
    <tableColumn id="2" name="Kolumna2" dataDxfId="5918"/>
    <tableColumn id="3" name="Kolumna3" dataDxfId="5917">
      <calculatedColumnFormula>SUM(Tabela1923455963127[#This Row])</calculatedColumnFormula>
    </tableColumn>
    <tableColumn id="4" name="Kolumna4" dataDxfId="5916">
      <calculatedColumnFormula>C242-D242</calculatedColumnFormula>
    </tableColumn>
    <tableColumn id="5" name="Kolumna5" dataDxfId="5915">
      <calculatedColumnFormula>IFERROR(D242/C242,"")</calculatedColumnFormula>
    </tableColumn>
    <tableColumn id="6" name="Kolumna6" dataDxfId="5914"/>
  </tableColumns>
  <tableStyleInfo name="TableStyleLight9" showFirstColumn="0" showLastColumn="0" showRowStripes="1" showColumnStripes="0"/>
</table>
</file>

<file path=xl/tables/table151.xml><?xml version="1.0" encoding="utf-8"?>
<table xmlns="http://schemas.openxmlformats.org/spreadsheetml/2006/main" id="125" name="Tabela1923455962126" displayName="Tabela1923455962126" ref="I229:AM239" totalsRowShown="0" headerRowDxfId="5913" dataDxfId="5911" headerRowBorderDxfId="5912">
  <autoFilter ref="I229:AM2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910"/>
    <tableColumn id="2" name="2" dataDxfId="5909"/>
    <tableColumn id="3" name="3" dataDxfId="5908"/>
    <tableColumn id="4" name="4" dataDxfId="5907"/>
    <tableColumn id="5" name="5" dataDxfId="5906"/>
    <tableColumn id="6" name="6" dataDxfId="5905"/>
    <tableColumn id="7" name="7" dataDxfId="5904"/>
    <tableColumn id="8" name="8" dataDxfId="5903"/>
    <tableColumn id="9" name="9" dataDxfId="5902"/>
    <tableColumn id="10" name="10" dataDxfId="5901"/>
    <tableColumn id="11" name="11" dataDxfId="5900"/>
    <tableColumn id="12" name="12" dataDxfId="5899"/>
    <tableColumn id="13" name="13" dataDxfId="5898"/>
    <tableColumn id="14" name="14" dataDxfId="5897"/>
    <tableColumn id="15" name="15" dataDxfId="5896"/>
    <tableColumn id="16" name="16" dataDxfId="5895"/>
    <tableColumn id="17" name="17" dataDxfId="5894"/>
    <tableColumn id="18" name="18" dataDxfId="5893"/>
    <tableColumn id="19" name="19" dataDxfId="5892"/>
    <tableColumn id="20" name="20" dataDxfId="5891"/>
    <tableColumn id="21" name="21" dataDxfId="5890"/>
    <tableColumn id="22" name="22" dataDxfId="5889"/>
    <tableColumn id="23" name="23" dataDxfId="5888"/>
    <tableColumn id="24" name="24" dataDxfId="5887"/>
    <tableColumn id="25" name="25" dataDxfId="5886"/>
    <tableColumn id="26" name="26" dataDxfId="5885"/>
    <tableColumn id="27" name="27" dataDxfId="5884"/>
    <tableColumn id="28" name="28" dataDxfId="5883"/>
    <tableColumn id="29" name="29" dataDxfId="5882"/>
    <tableColumn id="30" name="30" dataDxfId="5881"/>
    <tableColumn id="31" name="31" dataDxfId="5880"/>
  </tableColumns>
  <tableStyleInfo name="TableStyleMedium9" showFirstColumn="0" showLastColumn="0" showRowStripes="1" showColumnStripes="0"/>
</table>
</file>

<file path=xl/tables/table152.xml><?xml version="1.0" encoding="utf-8"?>
<table xmlns="http://schemas.openxmlformats.org/spreadsheetml/2006/main" id="126" name="Tabela1923455963127" displayName="Tabela1923455963127" ref="I241:AM251" totalsRowShown="0" headerRowDxfId="5879" dataDxfId="5877" headerRowBorderDxfId="5878">
  <autoFilter ref="I241:AM25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876"/>
    <tableColumn id="2" name="2" dataDxfId="5875"/>
    <tableColumn id="3" name="3" dataDxfId="5874"/>
    <tableColumn id="4" name="4" dataDxfId="5873"/>
    <tableColumn id="5" name="5" dataDxfId="5872"/>
    <tableColumn id="6" name="6" dataDxfId="5871"/>
    <tableColumn id="7" name="7" dataDxfId="5870"/>
    <tableColumn id="8" name="8" dataDxfId="5869"/>
    <tableColumn id="9" name="9" dataDxfId="5868"/>
    <tableColumn id="10" name="10" dataDxfId="5867"/>
    <tableColumn id="11" name="11" dataDxfId="5866"/>
    <tableColumn id="12" name="12" dataDxfId="5865"/>
    <tableColumn id="13" name="13" dataDxfId="5864"/>
    <tableColumn id="14" name="14" dataDxfId="5863"/>
    <tableColumn id="15" name="15" dataDxfId="5862"/>
    <tableColumn id="16" name="16" dataDxfId="5861"/>
    <tableColumn id="17" name="17" dataDxfId="5860"/>
    <tableColumn id="18" name="18" dataDxfId="5859"/>
    <tableColumn id="19" name="19" dataDxfId="5858"/>
    <tableColumn id="20" name="20" dataDxfId="5857"/>
    <tableColumn id="21" name="21" dataDxfId="5856"/>
    <tableColumn id="22" name="22" dataDxfId="5855"/>
    <tableColumn id="23" name="23" dataDxfId="5854"/>
    <tableColumn id="24" name="24" dataDxfId="5853"/>
    <tableColumn id="25" name="25" dataDxfId="5852"/>
    <tableColumn id="26" name="26" dataDxfId="5851"/>
    <tableColumn id="27" name="27" dataDxfId="5850"/>
    <tableColumn id="28" name="28" dataDxfId="5849"/>
    <tableColumn id="29" name="29" dataDxfId="5848"/>
    <tableColumn id="30" name="30" dataDxfId="5847"/>
    <tableColumn id="31" name="31" dataDxfId="5846"/>
  </tableColumns>
  <tableStyleInfo name="TableStyleMedium9" showFirstColumn="0" showLastColumn="0" showRowStripes="1" showColumnStripes="0"/>
</table>
</file>

<file path=xl/tables/table153.xml><?xml version="1.0" encoding="utf-8"?>
<table xmlns="http://schemas.openxmlformats.org/spreadsheetml/2006/main" id="127" name="Tabela33064128" displayName="Tabela33064128" ref="I51:AM66" totalsRowShown="0" headerRowDxfId="5845">
  <autoFilter ref="I51:AM6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844"/>
    <tableColumn id="2" name="2" dataDxfId="5843"/>
    <tableColumn id="3" name="3" dataDxfId="5842"/>
    <tableColumn id="4" name="4" dataDxfId="5841"/>
    <tableColumn id="5" name="5" dataDxfId="5840"/>
    <tableColumn id="6" name="6" dataDxfId="5839"/>
    <tableColumn id="7" name="7" dataDxfId="5838"/>
    <tableColumn id="8" name="8" dataDxfId="5837"/>
    <tableColumn id="9" name="9" dataDxfId="5836"/>
    <tableColumn id="10" name="10" dataDxfId="5835"/>
    <tableColumn id="11" name="11" dataDxfId="5834"/>
    <tableColumn id="12" name="12" dataDxfId="5833"/>
    <tableColumn id="13" name="13" dataDxfId="5832"/>
    <tableColumn id="14" name="14" dataDxfId="5831"/>
    <tableColumn id="15" name="15" dataDxfId="5830"/>
    <tableColumn id="16" name="16" dataDxfId="5829"/>
    <tableColumn id="17" name="17" dataDxfId="5828"/>
    <tableColumn id="18" name="18" dataDxfId="5827"/>
    <tableColumn id="19" name="19" dataDxfId="5826"/>
    <tableColumn id="20" name="20" dataDxfId="5825"/>
    <tableColumn id="21" name="21" dataDxfId="5824"/>
    <tableColumn id="22" name="22" dataDxfId="5823"/>
    <tableColumn id="23" name="23" dataDxfId="5822"/>
    <tableColumn id="24" name="24" dataDxfId="5821"/>
    <tableColumn id="25" name="25" dataDxfId="5820"/>
    <tableColumn id="26" name="26" dataDxfId="5819"/>
    <tableColumn id="27" name="27" dataDxfId="5818"/>
    <tableColumn id="28" name="28" dataDxfId="5817"/>
    <tableColumn id="29" name="29" dataDxfId="5816"/>
    <tableColumn id="30" name="30" dataDxfId="5815"/>
    <tableColumn id="31" name="31" dataDxfId="5814"/>
  </tableColumns>
  <tableStyleInfo name="TableStyleMedium9" showFirstColumn="0" showLastColumn="0" showRowStripes="1" showColumnStripes="0"/>
</table>
</file>

<file path=xl/tables/table154.xml><?xml version="1.0" encoding="utf-8"?>
<table xmlns="http://schemas.openxmlformats.org/spreadsheetml/2006/main" id="128" name="Jedzenie2129" displayName="Jedzenie2129" ref="B74:G83" headerRowCount="0" totalsRowShown="0" headerRowDxfId="5813" dataDxfId="5812">
  <tableColumns count="6">
    <tableColumn id="1" name="Kategoria" dataDxfId="5811">
      <calculatedColumnFormula>'Wzorzec kategorii'!B36</calculatedColumnFormula>
    </tableColumn>
    <tableColumn id="2" name="0" headerRowDxfId="5810" dataDxfId="5809"/>
    <tableColumn id="3" name="02" headerRowDxfId="5808" dataDxfId="5807">
      <calculatedColumnFormula>SUM(Tabela330132[#This Row])</calculatedColumnFormula>
    </tableColumn>
    <tableColumn id="4" name="Kolumna4" dataDxfId="5806">
      <calculatedColumnFormula>C74-D74</calculatedColumnFormula>
    </tableColumn>
    <tableColumn id="5" name="Kolumna1" dataDxfId="5805">
      <calculatedColumnFormula>IFERROR(D74/C74,"")</calculatedColumnFormula>
    </tableColumn>
    <tableColumn id="6" name="Kolumna2" dataDxfId="5804"/>
  </tableColumns>
  <tableStyleInfo name="TableStyleLight9" showFirstColumn="0" showLastColumn="0" showRowStripes="1" showColumnStripes="0"/>
</table>
</file>

<file path=xl/tables/table155.xml><?xml version="1.0" encoding="utf-8"?>
<table xmlns="http://schemas.openxmlformats.org/spreadsheetml/2006/main" id="129" name="Transport3130" displayName="Transport3130" ref="B98:G107" headerRowCount="0" totalsRowShown="0">
  <tableColumns count="6">
    <tableColumn id="1" name="Kolumna1" dataDxfId="5803">
      <calculatedColumnFormula>'Wzorzec kategorii'!B60</calculatedColumnFormula>
    </tableColumn>
    <tableColumn id="2" name="Kolumna2" dataDxfId="5802"/>
    <tableColumn id="3" name="Kolumna3" dataDxfId="5801">
      <calculatedColumnFormula>SUM(Tabela1942144[#This Row])</calculatedColumnFormula>
    </tableColumn>
    <tableColumn id="4" name="Kolumna4" dataDxfId="5800">
      <calculatedColumnFormula>C98-D98</calculatedColumnFormula>
    </tableColumn>
    <tableColumn id="5" name="Kolumna5" dataDxfId="5799">
      <calculatedColumnFormula>IFERROR(D98/C98,"")</calculatedColumnFormula>
    </tableColumn>
    <tableColumn id="6" name="Kolumna6" dataDxfId="5798"/>
  </tableColumns>
  <tableStyleInfo name="TableStyleLight9" showFirstColumn="0" showLastColumn="0" showRowStripes="1" showColumnStripes="0"/>
</table>
</file>

<file path=xl/tables/table156.xml><?xml version="1.0" encoding="utf-8"?>
<table xmlns="http://schemas.openxmlformats.org/spreadsheetml/2006/main" id="130" name="Tabela718131" displayName="Tabela718131" ref="B52:G66" headerRowCount="0" totalsRowShown="0" headerRowDxfId="5797" dataDxfId="5796">
  <tableColumns count="6">
    <tableColumn id="1" name="Kolumna1" dataDxfId="5795">
      <calculatedColumnFormula>'Wzorzec kategorii'!B15</calculatedColumnFormula>
    </tableColumn>
    <tableColumn id="2" name="Kolumna2" dataDxfId="5794"/>
    <tableColumn id="3" name="Kolumna3" dataDxfId="5793">
      <calculatedColumnFormula>SUM(Tabela33064160[#This Row])</calculatedColumnFormula>
    </tableColumn>
    <tableColumn id="4" name="Kolumna4" dataDxfId="5792">
      <calculatedColumnFormula>Tabela718131[[#This Row],[Kolumna3]]-Tabela718131[[#This Row],[Kolumna2]]</calculatedColumnFormula>
    </tableColumn>
    <tableColumn id="5" name="Kolumna5" dataDxfId="5791" dataCellStyle="Procentowy">
      <calculatedColumnFormula>IFERROR(D52/C52,"")</calculatedColumnFormula>
    </tableColumn>
    <tableColumn id="6" name="Kolumna6" dataDxfId="5790"/>
  </tableColumns>
  <tableStyleInfo name="TableStyleLight9" showFirstColumn="0" showLastColumn="0" showRowStripes="1" showColumnStripes="0"/>
</table>
</file>

<file path=xl/tables/table157.xml><?xml version="1.0" encoding="utf-8"?>
<table xmlns="http://schemas.openxmlformats.org/spreadsheetml/2006/main" id="131" name="Tabela330132" displayName="Tabela330132" ref="I73:AM83" totalsRowShown="0" headerRowDxfId="5789">
  <autoFilter ref="I73:AM8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788"/>
    <tableColumn id="2" name="2" dataDxfId="5787"/>
    <tableColumn id="3" name="3" dataDxfId="5786"/>
    <tableColumn id="4" name="4" dataDxfId="5785"/>
    <tableColumn id="5" name="5" dataDxfId="5784"/>
    <tableColumn id="6" name="6" dataDxfId="5783"/>
    <tableColumn id="7" name="7" dataDxfId="5782"/>
    <tableColumn id="8" name="8" dataDxfId="5781"/>
    <tableColumn id="9" name="9" dataDxfId="5780"/>
    <tableColumn id="10" name="10" dataDxfId="5779"/>
    <tableColumn id="11" name="11" dataDxfId="5778"/>
    <tableColumn id="12" name="12" dataDxfId="5777"/>
    <tableColumn id="13" name="13" dataDxfId="5776"/>
    <tableColumn id="14" name="14" dataDxfId="5775"/>
    <tableColumn id="15" name="15" dataDxfId="5774"/>
    <tableColumn id="16" name="16" dataDxfId="5773"/>
    <tableColumn id="17" name="17" dataDxfId="5772"/>
    <tableColumn id="18" name="18" dataDxfId="5771"/>
    <tableColumn id="19" name="19" dataDxfId="5770"/>
    <tableColumn id="20" name="20" dataDxfId="5769"/>
    <tableColumn id="21" name="21" dataDxfId="5768"/>
    <tableColumn id="22" name="22" dataDxfId="5767"/>
    <tableColumn id="23" name="23" dataDxfId="5766"/>
    <tableColumn id="24" name="24" dataDxfId="5765"/>
    <tableColumn id="25" name="25" dataDxfId="5764"/>
    <tableColumn id="26" name="26" dataDxfId="5763"/>
    <tableColumn id="27" name="27" dataDxfId="5762"/>
    <tableColumn id="28" name="28" dataDxfId="5761"/>
    <tableColumn id="29" name="29" dataDxfId="5760"/>
    <tableColumn id="30" name="30" dataDxfId="5759"/>
    <tableColumn id="31" name="31" dataDxfId="5758"/>
  </tableColumns>
  <tableStyleInfo name="TableStyleMedium9" showFirstColumn="0" showLastColumn="0" showRowStripes="1" showColumnStripes="0"/>
</table>
</file>

<file path=xl/tables/table158.xml><?xml version="1.0" encoding="utf-8"?>
<table xmlns="http://schemas.openxmlformats.org/spreadsheetml/2006/main" id="132" name="Tabela431133" displayName="Tabela431133" ref="B86:G95" headerRowCount="0" totalsRowShown="0" headerRowDxfId="5757">
  <tableColumns count="6">
    <tableColumn id="1" name="Kolumna1" dataDxfId="5756">
      <calculatedColumnFormula>'Wzorzec kategorii'!B48</calculatedColumnFormula>
    </tableColumn>
    <tableColumn id="2" name="Kolumna2" headerRowDxfId="5755" dataDxfId="5754"/>
    <tableColumn id="3" name="Kolumna3" headerRowDxfId="5753" dataDxfId="5752">
      <calculatedColumnFormula>SUM(Tabela1841143[#This Row])</calculatedColumnFormula>
    </tableColumn>
    <tableColumn id="4" name="Kolumna4" headerRowDxfId="5751" dataDxfId="5750">
      <calculatedColumnFormula>C86-D86</calculatedColumnFormula>
    </tableColumn>
    <tableColumn id="5" name="Kolumna5" headerRowDxfId="5749" dataDxfId="5748">
      <calculatedColumnFormula>IFERROR(D86/C86,"")</calculatedColumnFormula>
    </tableColumn>
    <tableColumn id="6" name="Kolumna6" headerRowDxfId="5747" dataDxfId="5746"/>
  </tableColumns>
  <tableStyleInfo name="TableStyleLight9" showFirstColumn="0" showLastColumn="0" showRowStripes="1" showColumnStripes="0"/>
</table>
</file>

<file path=xl/tables/table159.xml><?xml version="1.0" encoding="utf-8"?>
<table xmlns="http://schemas.openxmlformats.org/spreadsheetml/2006/main" id="133" name="Tabela832134" displayName="Tabela832134" ref="B110:G119" headerRowCount="0" totalsRowShown="0">
  <tableColumns count="6">
    <tableColumn id="1" name="Kolumna1" headerRowDxfId="5745" dataDxfId="5744">
      <calculatedColumnFormula>'Wzorzec kategorii'!B72</calculatedColumnFormula>
    </tableColumn>
    <tableColumn id="2" name="Kolumna2" dataDxfId="5743"/>
    <tableColumn id="3" name="Kolumna3" dataDxfId="5742">
      <calculatedColumnFormula>SUM(Tabela192143145[#This Row])</calculatedColumnFormula>
    </tableColumn>
    <tableColumn id="4" name="Kolumna4" dataDxfId="5741">
      <calculatedColumnFormula>C110-D110</calculatedColumnFormula>
    </tableColumn>
    <tableColumn id="5" name="Kolumna5" dataDxfId="5740">
      <calculatedColumnFormula>IFERROR(D110/C110,"")</calculatedColumnFormula>
    </tableColumn>
    <tableColumn id="6" name="Kolumna6" dataDxfId="5739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19" name="Tabela19" displayName="Tabela19" ref="I81:AM89" totalsRowShown="0" headerRowDxfId="8240" dataDxfId="8238" headerRowBorderDxfId="8239">
  <autoFilter ref="I81:AM8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8237"/>
    <tableColumn id="2" name="2" dataDxfId="8236"/>
    <tableColumn id="3" name="3" dataDxfId="8235"/>
    <tableColumn id="4" name="4" dataDxfId="8234"/>
    <tableColumn id="5" name="5" dataDxfId="8233"/>
    <tableColumn id="6" name="6" dataDxfId="8232"/>
    <tableColumn id="7" name="7" dataDxfId="8231"/>
    <tableColumn id="8" name="8" dataDxfId="8230"/>
    <tableColumn id="9" name="9" dataDxfId="8229"/>
    <tableColumn id="10" name="10" dataDxfId="8228"/>
    <tableColumn id="11" name="11" dataDxfId="8227"/>
    <tableColumn id="12" name="12" dataDxfId="8226"/>
    <tableColumn id="13" name="13" dataDxfId="8225"/>
    <tableColumn id="14" name="14" dataDxfId="8224"/>
    <tableColumn id="15" name="15" dataDxfId="8223"/>
    <tableColumn id="16" name="16" dataDxfId="8222"/>
    <tableColumn id="17" name="17" dataDxfId="8221"/>
    <tableColumn id="18" name="18" dataDxfId="8220"/>
    <tableColumn id="19" name="19" dataDxfId="8219"/>
    <tableColumn id="20" name="20" dataDxfId="8218"/>
    <tableColumn id="21" name="21" dataDxfId="8217"/>
    <tableColumn id="22" name="22" dataDxfId="8216"/>
    <tableColumn id="23" name="23" dataDxfId="8215"/>
    <tableColumn id="24" name="24" dataDxfId="8214"/>
    <tableColumn id="25" name="25" dataDxfId="8213"/>
    <tableColumn id="26" name="26" dataDxfId="8212"/>
    <tableColumn id="27" name="27" dataDxfId="8211"/>
    <tableColumn id="28" name="28" dataDxfId="8210"/>
    <tableColumn id="29" name="29" dataDxfId="8209"/>
    <tableColumn id="30" name="30" dataDxfId="8208"/>
    <tableColumn id="31" name="31" dataDxfId="8207"/>
  </tableColumns>
  <tableStyleInfo name="TableStyleMedium9" showFirstColumn="0" showLastColumn="0" showRowStripes="1" showColumnStripes="0"/>
</table>
</file>

<file path=xl/tables/table160.xml><?xml version="1.0" encoding="utf-8"?>
<table xmlns="http://schemas.openxmlformats.org/spreadsheetml/2006/main" id="134" name="Tabela933135" displayName="Tabela933135" ref="B122:G131" headerRowCount="0" totalsRowShown="0">
  <tableColumns count="6">
    <tableColumn id="1" name="Kolumna1" headerRowDxfId="5738" dataDxfId="5737">
      <calculatedColumnFormula>'Wzorzec kategorii'!B84</calculatedColumnFormula>
    </tableColumn>
    <tableColumn id="2" name="Kolumna2" dataDxfId="5736"/>
    <tableColumn id="3" name="Kolumna3" dataDxfId="5735">
      <calculatedColumnFormula>SUM(Tabela19212547149[#This Row])</calculatedColumnFormula>
    </tableColumn>
    <tableColumn id="4" name="Kolumna4" dataDxfId="5734">
      <calculatedColumnFormula>C122-D122</calculatedColumnFormula>
    </tableColumn>
    <tableColumn id="5" name="Kolumna5" dataDxfId="5733">
      <calculatedColumnFormula>IFERROR(D122/C122,"")</calculatedColumnFormula>
    </tableColumn>
    <tableColumn id="6" name="Kolumna6" dataDxfId="5732"/>
  </tableColumns>
  <tableStyleInfo name="TableStyleLight9" showFirstColumn="0" showLastColumn="0" showRowStripes="1" showColumnStripes="0"/>
</table>
</file>

<file path=xl/tables/table161.xml><?xml version="1.0" encoding="utf-8"?>
<table xmlns="http://schemas.openxmlformats.org/spreadsheetml/2006/main" id="135" name="Tabela1034136" displayName="Tabela1034136" ref="B134:G143" headerRowCount="0" totalsRowShown="0">
  <tableColumns count="6">
    <tableColumn id="1" name="Kolumna1" headerRowDxfId="5731" dataDxfId="5730">
      <calculatedColumnFormula>'Wzorzec kategorii'!B96</calculatedColumnFormula>
    </tableColumn>
    <tableColumn id="2" name="Kolumna2" dataDxfId="5729"/>
    <tableColumn id="3" name="Kolumna3" dataDxfId="5728">
      <calculatedColumnFormula>SUM(Tabela19212446148[#This Row])</calculatedColumnFormula>
    </tableColumn>
    <tableColumn id="4" name="Kolumna4" dataDxfId="5727">
      <calculatedColumnFormula>C134-D134</calculatedColumnFormula>
    </tableColumn>
    <tableColumn id="5" name="Kolumna5" dataDxfId="5726">
      <calculatedColumnFormula>IFERROR(D134/C134,"")</calculatedColumnFormula>
    </tableColumn>
    <tableColumn id="6" name="Kolumna6" dataDxfId="5725"/>
  </tableColumns>
  <tableStyleInfo name="TableStyleLight9" showFirstColumn="0" showLastColumn="0" showRowStripes="1" showColumnStripes="0"/>
</table>
</file>

<file path=xl/tables/table162.xml><?xml version="1.0" encoding="utf-8"?>
<table xmlns="http://schemas.openxmlformats.org/spreadsheetml/2006/main" id="136" name="Tabela1135137" displayName="Tabela1135137" ref="B146:G155" headerRowCount="0" totalsRowShown="0">
  <tableColumns count="6">
    <tableColumn id="1" name="Kolumna1" dataDxfId="5724">
      <calculatedColumnFormula>'Wzorzec kategorii'!B108</calculatedColumnFormula>
    </tableColumn>
    <tableColumn id="2" name="Kolumna2" dataDxfId="5723"/>
    <tableColumn id="3" name="Kolumna3" dataDxfId="5722">
      <calculatedColumnFormula>SUM(Tabela192244146[#This Row])</calculatedColumnFormula>
    </tableColumn>
    <tableColumn id="4" name="Kolumna4" dataDxfId="5721">
      <calculatedColumnFormula>C146-D146</calculatedColumnFormula>
    </tableColumn>
    <tableColumn id="5" name="Kolumna5" dataDxfId="5720">
      <calculatedColumnFormula>IFERROR(D146/C146,"")</calculatedColumnFormula>
    </tableColumn>
    <tableColumn id="6" name="Kolumna6" dataDxfId="5719"/>
  </tableColumns>
  <tableStyleInfo name="TableStyleLight9" showFirstColumn="0" showLastColumn="0" showRowStripes="1" showColumnStripes="0"/>
</table>
</file>

<file path=xl/tables/table163.xml><?xml version="1.0" encoding="utf-8"?>
<table xmlns="http://schemas.openxmlformats.org/spreadsheetml/2006/main" id="137" name="Tabela1236138" displayName="Tabela1236138" ref="B158:G167" headerRowCount="0" totalsRowShown="0">
  <tableColumns count="6">
    <tableColumn id="1" name="Kolumna1" dataDxfId="5718">
      <calculatedColumnFormula>'Wzorzec kategorii'!B120</calculatedColumnFormula>
    </tableColumn>
    <tableColumn id="2" name="Kolumna2" dataDxfId="5717"/>
    <tableColumn id="3" name="Kolumna3" dataDxfId="5716">
      <calculatedColumnFormula>SUM(Tabela2548150[#This Row])</calculatedColumnFormula>
    </tableColumn>
    <tableColumn id="4" name="Kolumna4" dataDxfId="5715">
      <calculatedColumnFormula>C158-D158</calculatedColumnFormula>
    </tableColumn>
    <tableColumn id="5" name="Kolumna5" dataDxfId="5714">
      <calculatedColumnFormula>IFERROR(D158/C158,"")</calculatedColumnFormula>
    </tableColumn>
    <tableColumn id="6" name="Kolumna6"/>
  </tableColumns>
  <tableStyleInfo name="TableStyleLight9" showFirstColumn="0" showLastColumn="0" showRowStripes="1" showColumnStripes="0"/>
</table>
</file>

<file path=xl/tables/table164.xml><?xml version="1.0" encoding="utf-8"?>
<table xmlns="http://schemas.openxmlformats.org/spreadsheetml/2006/main" id="138" name="Tabela1337139" displayName="Tabela1337139" ref="B170:G179" headerRowCount="0" totalsRowShown="0">
  <tableColumns count="6">
    <tableColumn id="1" name="Kolumna1" dataDxfId="5713">
      <calculatedColumnFormula>'Wzorzec kategorii'!B132</calculatedColumnFormula>
    </tableColumn>
    <tableColumn id="2" name="Kolumna2" dataDxfId="5712"/>
    <tableColumn id="3" name="Kolumna3" dataDxfId="5711">
      <calculatedColumnFormula>SUM(Tabela2649151[#This Row])</calculatedColumnFormula>
    </tableColumn>
    <tableColumn id="4" name="Kolumna4" dataDxfId="5710">
      <calculatedColumnFormula>C170-D170</calculatedColumnFormula>
    </tableColumn>
    <tableColumn id="5" name="Kolumna5" dataDxfId="5709">
      <calculatedColumnFormula>IFERROR(D170/C170,"")</calculatedColumnFormula>
    </tableColumn>
    <tableColumn id="6" name="Kolumna6" dataDxfId="5708"/>
  </tableColumns>
  <tableStyleInfo name="TableStyleLight9" showFirstColumn="0" showLastColumn="0" showRowStripes="1" showColumnStripes="0"/>
</table>
</file>

<file path=xl/tables/table165.xml><?xml version="1.0" encoding="utf-8"?>
<table xmlns="http://schemas.openxmlformats.org/spreadsheetml/2006/main" id="139" name="Tabela1438140" displayName="Tabela1438140" ref="B182:G191" headerRowCount="0" totalsRowShown="0">
  <tableColumns count="6">
    <tableColumn id="1" name="Kolumna1" dataDxfId="5707">
      <calculatedColumnFormula>'Wzorzec kategorii'!B144</calculatedColumnFormula>
    </tableColumn>
    <tableColumn id="2" name="Kolumna2" dataDxfId="5706"/>
    <tableColumn id="3" name="Kolumna3" dataDxfId="5705">
      <calculatedColumnFormula>SUM(Tabela2750152[#This Row])</calculatedColumnFormula>
    </tableColumn>
    <tableColumn id="4" name="Kolumna4" dataDxfId="5704">
      <calculatedColumnFormula>C182-D182</calculatedColumnFormula>
    </tableColumn>
    <tableColumn id="5" name="Kolumna5" dataDxfId="5703">
      <calculatedColumnFormula>IFERROR(D182/C182,"")</calculatedColumnFormula>
    </tableColumn>
    <tableColumn id="6" name="Kolumna6" dataDxfId="5702"/>
  </tableColumns>
  <tableStyleInfo name="TableStyleLight9" showFirstColumn="0" showLastColumn="0" showRowStripes="1" showColumnStripes="0"/>
</table>
</file>

<file path=xl/tables/table166.xml><?xml version="1.0" encoding="utf-8"?>
<table xmlns="http://schemas.openxmlformats.org/spreadsheetml/2006/main" id="140" name="Tabela1539141" displayName="Tabela1539141" ref="B194:G203" headerRowCount="0" totalsRowShown="0">
  <tableColumns count="6">
    <tableColumn id="1" name="Kolumna1" dataDxfId="5701">
      <calculatedColumnFormula>'Wzorzec kategorii'!B156</calculatedColumnFormula>
    </tableColumn>
    <tableColumn id="2" name="Kolumna2" dataDxfId="5700"/>
    <tableColumn id="3" name="Kolumna3" dataDxfId="5699">
      <calculatedColumnFormula>SUM(Tabela2851153[#This Row])</calculatedColumnFormula>
    </tableColumn>
    <tableColumn id="4" name="Kolumna4" dataDxfId="5698">
      <calculatedColumnFormula>C194-D194</calculatedColumnFormula>
    </tableColumn>
    <tableColumn id="5" name="Kolumna5" dataDxfId="5697">
      <calculatedColumnFormula>IFERROR(D194/C194,"")</calculatedColumnFormula>
    </tableColumn>
    <tableColumn id="6" name="Kolumna6" dataDxfId="5696"/>
  </tableColumns>
  <tableStyleInfo name="TableStyleLight9" showFirstColumn="0" showLastColumn="0" showRowStripes="1" showColumnStripes="0"/>
</table>
</file>

<file path=xl/tables/table167.xml><?xml version="1.0" encoding="utf-8"?>
<table xmlns="http://schemas.openxmlformats.org/spreadsheetml/2006/main" id="141" name="Tabela1640142" displayName="Tabela1640142" ref="B206:G215" headerRowCount="0" totalsRowShown="0">
  <tableColumns count="6">
    <tableColumn id="1" name="Kolumna1" dataDxfId="5695">
      <calculatedColumnFormula>'Wzorzec kategorii'!B168</calculatedColumnFormula>
    </tableColumn>
    <tableColumn id="2" name="Kolumna2" dataDxfId="5694"/>
    <tableColumn id="3" name="Kolumna3" dataDxfId="5693">
      <calculatedColumnFormula>SUM(Tabela192345147[#This Row])</calculatedColumnFormula>
    </tableColumn>
    <tableColumn id="4" name="Kolumna4" dataDxfId="5692">
      <calculatedColumnFormula>C206-D206</calculatedColumnFormula>
    </tableColumn>
    <tableColumn id="5" name="Kolumna5" dataDxfId="5691">
      <calculatedColumnFormula>IFERROR(D206/C206,"")</calculatedColumnFormula>
    </tableColumn>
    <tableColumn id="6" name="Kolumna6" dataDxfId="5690"/>
  </tableColumns>
  <tableStyleInfo name="TableStyleLight9" showFirstColumn="0" showLastColumn="0" showRowStripes="1" showColumnStripes="0"/>
</table>
</file>

<file path=xl/tables/table168.xml><?xml version="1.0" encoding="utf-8"?>
<table xmlns="http://schemas.openxmlformats.org/spreadsheetml/2006/main" id="142" name="Tabela1841143" displayName="Tabela1841143" ref="I85:AM95" totalsRowShown="0" headerRowDxfId="5689" dataDxfId="5687" headerRowBorderDxfId="5688">
  <autoFilter ref="I85:AM9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686"/>
    <tableColumn id="2" name="2" dataDxfId="5685"/>
    <tableColumn id="3" name="3" dataDxfId="5684"/>
    <tableColumn id="4" name="4" dataDxfId="5683"/>
    <tableColumn id="5" name="5" dataDxfId="5682"/>
    <tableColumn id="6" name="6" dataDxfId="5681"/>
    <tableColumn id="7" name="7" dataDxfId="5680"/>
    <tableColumn id="8" name="8" dataDxfId="5679"/>
    <tableColumn id="9" name="9" dataDxfId="5678"/>
    <tableColumn id="10" name="10" dataDxfId="5677"/>
    <tableColumn id="11" name="11" dataDxfId="5676"/>
    <tableColumn id="12" name="12" dataDxfId="5675"/>
    <tableColumn id="13" name="13" dataDxfId="5674"/>
    <tableColumn id="14" name="14" dataDxfId="5673"/>
    <tableColumn id="15" name="15" dataDxfId="5672"/>
    <tableColumn id="16" name="16" dataDxfId="5671"/>
    <tableColumn id="17" name="17" dataDxfId="5670"/>
    <tableColumn id="18" name="18" dataDxfId="5669"/>
    <tableColumn id="19" name="19" dataDxfId="5668"/>
    <tableColumn id="20" name="20" dataDxfId="5667"/>
    <tableColumn id="21" name="21" dataDxfId="5666"/>
    <tableColumn id="22" name="22" dataDxfId="5665"/>
    <tableColumn id="23" name="23" dataDxfId="5664"/>
    <tableColumn id="24" name="24" dataDxfId="5663"/>
    <tableColumn id="25" name="25" dataDxfId="5662"/>
    <tableColumn id="26" name="26" dataDxfId="5661"/>
    <tableColumn id="27" name="27" dataDxfId="5660"/>
    <tableColumn id="28" name="28" dataDxfId="5659"/>
    <tableColumn id="29" name="29" dataDxfId="5658"/>
    <tableColumn id="30" name="30" dataDxfId="5657"/>
    <tableColumn id="31" name="31" dataDxfId="5656"/>
  </tableColumns>
  <tableStyleInfo name="TableStyleMedium9" showFirstColumn="0" showLastColumn="0" showRowStripes="1" showColumnStripes="0"/>
</table>
</file>

<file path=xl/tables/table169.xml><?xml version="1.0" encoding="utf-8"?>
<table xmlns="http://schemas.openxmlformats.org/spreadsheetml/2006/main" id="143" name="Tabela1942144" displayName="Tabela1942144" ref="I97:AM107" totalsRowShown="0" headerRowDxfId="5655" dataDxfId="5653" headerRowBorderDxfId="5654">
  <autoFilter ref="I97:AM10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652"/>
    <tableColumn id="2" name="2" dataDxfId="5651"/>
    <tableColumn id="3" name="3" dataDxfId="5650"/>
    <tableColumn id="4" name="4" dataDxfId="5649"/>
    <tableColumn id="5" name="5" dataDxfId="5648"/>
    <tableColumn id="6" name="6" dataDxfId="5647"/>
    <tableColumn id="7" name="7" dataDxfId="5646"/>
    <tableColumn id="8" name="8" dataDxfId="5645"/>
    <tableColumn id="9" name="9" dataDxfId="5644"/>
    <tableColumn id="10" name="10" dataDxfId="5643"/>
    <tableColumn id="11" name="11" dataDxfId="5642"/>
    <tableColumn id="12" name="12" dataDxfId="5641"/>
    <tableColumn id="13" name="13" dataDxfId="5640"/>
    <tableColumn id="14" name="14" dataDxfId="5639"/>
    <tableColumn id="15" name="15" dataDxfId="5638"/>
    <tableColumn id="16" name="16" dataDxfId="5637"/>
    <tableColumn id="17" name="17" dataDxfId="5636"/>
    <tableColumn id="18" name="18" dataDxfId="5635"/>
    <tableColumn id="19" name="19" dataDxfId="5634"/>
    <tableColumn id="20" name="20" dataDxfId="5633"/>
    <tableColumn id="21" name="21" dataDxfId="5632"/>
    <tableColumn id="22" name="22" dataDxfId="5631"/>
    <tableColumn id="23" name="23" dataDxfId="5630"/>
    <tableColumn id="24" name="24" dataDxfId="5629"/>
    <tableColumn id="25" name="25" dataDxfId="5628"/>
    <tableColumn id="26" name="26" dataDxfId="5627"/>
    <tableColumn id="27" name="27" dataDxfId="5626"/>
    <tableColumn id="28" name="28" dataDxfId="5625"/>
    <tableColumn id="29" name="29" dataDxfId="5624"/>
    <tableColumn id="30" name="30" dataDxfId="5623"/>
    <tableColumn id="31" name="31" dataDxfId="5622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20" name="Tabela1921" displayName="Tabela1921" ref="I91:AM96" totalsRowShown="0" headerRowDxfId="8206" dataDxfId="8204" headerRowBorderDxfId="8205">
  <autoFilter ref="I91:AM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8203"/>
    <tableColumn id="2" name="2" dataDxfId="8202"/>
    <tableColumn id="3" name="3" dataDxfId="8201"/>
    <tableColumn id="4" name="4" dataDxfId="8200"/>
    <tableColumn id="5" name="5" dataDxfId="8199"/>
    <tableColumn id="6" name="6" dataDxfId="8198"/>
    <tableColumn id="7" name="7" dataDxfId="8197"/>
    <tableColumn id="8" name="8" dataDxfId="8196"/>
    <tableColumn id="9" name="9" dataDxfId="8195"/>
    <tableColumn id="10" name="10" dataDxfId="8194"/>
    <tableColumn id="11" name="11" dataDxfId="8193"/>
    <tableColumn id="12" name="12" dataDxfId="8192"/>
    <tableColumn id="13" name="13" dataDxfId="8191"/>
    <tableColumn id="14" name="14" dataDxfId="8190"/>
    <tableColumn id="15" name="15" dataDxfId="8189"/>
    <tableColumn id="16" name="16" dataDxfId="8188"/>
    <tableColumn id="17" name="17" dataDxfId="8187"/>
    <tableColumn id="18" name="18" dataDxfId="8186"/>
    <tableColumn id="19" name="19" dataDxfId="8185"/>
    <tableColumn id="20" name="20" dataDxfId="8184"/>
    <tableColumn id="21" name="21" dataDxfId="8183"/>
    <tableColumn id="22" name="22" dataDxfId="8182"/>
    <tableColumn id="23" name="23" dataDxfId="8181"/>
    <tableColumn id="24" name="24" dataDxfId="8180"/>
    <tableColumn id="25" name="25" dataDxfId="8179"/>
    <tableColumn id="26" name="26" dataDxfId="8178"/>
    <tableColumn id="27" name="27" dataDxfId="8177"/>
    <tableColumn id="28" name="28" dataDxfId="8176"/>
    <tableColumn id="29" name="29" dataDxfId="8175"/>
    <tableColumn id="30" name="30" dataDxfId="8174"/>
    <tableColumn id="31" name="31" dataDxfId="8173"/>
  </tableColumns>
  <tableStyleInfo name="TableStyleMedium9" showFirstColumn="0" showLastColumn="0" showRowStripes="1" showColumnStripes="0"/>
</table>
</file>

<file path=xl/tables/table170.xml><?xml version="1.0" encoding="utf-8"?>
<table xmlns="http://schemas.openxmlformats.org/spreadsheetml/2006/main" id="144" name="Tabela192143145" displayName="Tabela192143145" ref="I109:AM119" totalsRowShown="0" headerRowDxfId="5621" dataDxfId="5619" headerRowBorderDxfId="5620">
  <autoFilter ref="I109:AM1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618"/>
    <tableColumn id="2" name="2" dataDxfId="5617"/>
    <tableColumn id="3" name="3" dataDxfId="5616"/>
    <tableColumn id="4" name="4" dataDxfId="5615"/>
    <tableColumn id="5" name="5" dataDxfId="5614"/>
    <tableColumn id="6" name="6" dataDxfId="5613"/>
    <tableColumn id="7" name="7" dataDxfId="5612"/>
    <tableColumn id="8" name="8" dataDxfId="5611"/>
    <tableColumn id="9" name="9" dataDxfId="5610"/>
    <tableColumn id="10" name="10" dataDxfId="5609"/>
    <tableColumn id="11" name="11" dataDxfId="5608"/>
    <tableColumn id="12" name="12" dataDxfId="5607"/>
    <tableColumn id="13" name="13" dataDxfId="5606"/>
    <tableColumn id="14" name="14" dataDxfId="5605"/>
    <tableColumn id="15" name="15" dataDxfId="5604"/>
    <tableColumn id="16" name="16" dataDxfId="5603"/>
    <tableColumn id="17" name="17" dataDxfId="5602"/>
    <tableColumn id="18" name="18" dataDxfId="5601"/>
    <tableColumn id="19" name="19" dataDxfId="5600"/>
    <tableColumn id="20" name="20" dataDxfId="5599"/>
    <tableColumn id="21" name="21" dataDxfId="5598"/>
    <tableColumn id="22" name="22" dataDxfId="5597"/>
    <tableColumn id="23" name="23" dataDxfId="5596"/>
    <tableColumn id="24" name="24" dataDxfId="5595"/>
    <tableColumn id="25" name="25" dataDxfId="5594"/>
    <tableColumn id="26" name="26" dataDxfId="5593"/>
    <tableColumn id="27" name="27" dataDxfId="5592"/>
    <tableColumn id="28" name="28" dataDxfId="5591"/>
    <tableColumn id="29" name="29" dataDxfId="5590"/>
    <tableColumn id="30" name="30" dataDxfId="5589"/>
    <tableColumn id="31" name="31" dataDxfId="5588"/>
  </tableColumns>
  <tableStyleInfo name="TableStyleMedium9" showFirstColumn="0" showLastColumn="0" showRowStripes="1" showColumnStripes="0"/>
</table>
</file>

<file path=xl/tables/table171.xml><?xml version="1.0" encoding="utf-8"?>
<table xmlns="http://schemas.openxmlformats.org/spreadsheetml/2006/main" id="145" name="Tabela192244146" displayName="Tabela192244146" ref="I145:AM155" totalsRowShown="0" headerRowDxfId="5587" dataDxfId="5585" headerRowBorderDxfId="5586">
  <autoFilter ref="I145:AM1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584"/>
    <tableColumn id="2" name="2" dataDxfId="5583"/>
    <tableColumn id="3" name="3" dataDxfId="5582"/>
    <tableColumn id="4" name="4" dataDxfId="5581"/>
    <tableColumn id="5" name="5" dataDxfId="5580"/>
    <tableColumn id="6" name="6" dataDxfId="5579"/>
    <tableColumn id="7" name="7" dataDxfId="5578"/>
    <tableColumn id="8" name="8" dataDxfId="5577"/>
    <tableColumn id="9" name="9" dataDxfId="5576"/>
    <tableColumn id="10" name="10" dataDxfId="5575"/>
    <tableColumn id="11" name="11" dataDxfId="5574"/>
    <tableColumn id="12" name="12" dataDxfId="5573"/>
    <tableColumn id="13" name="13" dataDxfId="5572"/>
    <tableColumn id="14" name="14" dataDxfId="5571"/>
    <tableColumn id="15" name="15" dataDxfId="5570"/>
    <tableColumn id="16" name="16" dataDxfId="5569"/>
    <tableColumn id="17" name="17" dataDxfId="5568"/>
    <tableColumn id="18" name="18" dataDxfId="5567"/>
    <tableColumn id="19" name="19" dataDxfId="5566"/>
    <tableColumn id="20" name="20" dataDxfId="5565"/>
    <tableColumn id="21" name="21" dataDxfId="5564"/>
    <tableColumn id="22" name="22" dataDxfId="5563"/>
    <tableColumn id="23" name="23" dataDxfId="5562"/>
    <tableColumn id="24" name="24" dataDxfId="5561"/>
    <tableColumn id="25" name="25" dataDxfId="5560"/>
    <tableColumn id="26" name="26" dataDxfId="5559"/>
    <tableColumn id="27" name="27" dataDxfId="5558"/>
    <tableColumn id="28" name="28" dataDxfId="5557"/>
    <tableColumn id="29" name="29" dataDxfId="5556"/>
    <tableColumn id="30" name="30" dataDxfId="5555"/>
    <tableColumn id="31" name="31" dataDxfId="5554"/>
  </tableColumns>
  <tableStyleInfo name="TableStyleMedium9" showFirstColumn="0" showLastColumn="0" showRowStripes="1" showColumnStripes="0"/>
</table>
</file>

<file path=xl/tables/table172.xml><?xml version="1.0" encoding="utf-8"?>
<table xmlns="http://schemas.openxmlformats.org/spreadsheetml/2006/main" id="146" name="Tabela192345147" displayName="Tabela192345147" ref="I205:AM215" totalsRowShown="0" headerRowDxfId="5553" dataDxfId="5551" headerRowBorderDxfId="5552">
  <autoFilter ref="I205:AM2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550"/>
    <tableColumn id="2" name="2" dataDxfId="5549"/>
    <tableColumn id="3" name="3" dataDxfId="5548"/>
    <tableColumn id="4" name="4" dataDxfId="5547"/>
    <tableColumn id="5" name="5" dataDxfId="5546"/>
    <tableColumn id="6" name="6" dataDxfId="5545"/>
    <tableColumn id="7" name="7" dataDxfId="5544"/>
    <tableColumn id="8" name="8" dataDxfId="5543"/>
    <tableColumn id="9" name="9" dataDxfId="5542"/>
    <tableColumn id="10" name="10" dataDxfId="5541"/>
    <tableColumn id="11" name="11" dataDxfId="5540"/>
    <tableColumn id="12" name="12" dataDxfId="5539"/>
    <tableColumn id="13" name="13" dataDxfId="5538"/>
    <tableColumn id="14" name="14" dataDxfId="5537"/>
    <tableColumn id="15" name="15" dataDxfId="5536"/>
    <tableColumn id="16" name="16" dataDxfId="5535"/>
    <tableColumn id="17" name="17" dataDxfId="5534"/>
    <tableColumn id="18" name="18" dataDxfId="5533"/>
    <tableColumn id="19" name="19" dataDxfId="5532"/>
    <tableColumn id="20" name="20" dataDxfId="5531"/>
    <tableColumn id="21" name="21" dataDxfId="5530"/>
    <tableColumn id="22" name="22" dataDxfId="5529"/>
    <tableColumn id="23" name="23" dataDxfId="5528"/>
    <tableColumn id="24" name="24" dataDxfId="5527"/>
    <tableColumn id="25" name="25" dataDxfId="5526"/>
    <tableColumn id="26" name="26" dataDxfId="5525"/>
    <tableColumn id="27" name="27" dataDxfId="5524"/>
    <tableColumn id="28" name="28" dataDxfId="5523"/>
    <tableColumn id="29" name="29" dataDxfId="5522"/>
    <tableColumn id="30" name="30" dataDxfId="5521"/>
    <tableColumn id="31" name="31" dataDxfId="5520"/>
  </tableColumns>
  <tableStyleInfo name="TableStyleMedium9" showFirstColumn="0" showLastColumn="0" showRowStripes="1" showColumnStripes="0"/>
</table>
</file>

<file path=xl/tables/table173.xml><?xml version="1.0" encoding="utf-8"?>
<table xmlns="http://schemas.openxmlformats.org/spreadsheetml/2006/main" id="147" name="Tabela19212446148" displayName="Tabela19212446148" ref="I133:AM143" totalsRowShown="0" headerRowDxfId="5519" dataDxfId="5517" headerRowBorderDxfId="5518">
  <autoFilter ref="I133:AM1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516"/>
    <tableColumn id="2" name="2" dataDxfId="5515"/>
    <tableColumn id="3" name="3" dataDxfId="5514"/>
    <tableColumn id="4" name="4" dataDxfId="5513"/>
    <tableColumn id="5" name="5" dataDxfId="5512"/>
    <tableColumn id="6" name="6" dataDxfId="5511"/>
    <tableColumn id="7" name="7" dataDxfId="5510"/>
    <tableColumn id="8" name="8" dataDxfId="5509"/>
    <tableColumn id="9" name="9" dataDxfId="5508"/>
    <tableColumn id="10" name="10" dataDxfId="5507"/>
    <tableColumn id="11" name="11" dataDxfId="5506"/>
    <tableColumn id="12" name="12" dataDxfId="5505"/>
    <tableColumn id="13" name="13" dataDxfId="5504"/>
    <tableColumn id="14" name="14" dataDxfId="5503"/>
    <tableColumn id="15" name="15" dataDxfId="5502"/>
    <tableColumn id="16" name="16" dataDxfId="5501"/>
    <tableColumn id="17" name="17" dataDxfId="5500"/>
    <tableColumn id="18" name="18" dataDxfId="5499"/>
    <tableColumn id="19" name="19" dataDxfId="5498"/>
    <tableColumn id="20" name="20" dataDxfId="5497"/>
    <tableColumn id="21" name="21" dataDxfId="5496"/>
    <tableColumn id="22" name="22" dataDxfId="5495"/>
    <tableColumn id="23" name="23" dataDxfId="5494"/>
    <tableColumn id="24" name="24" dataDxfId="5493"/>
    <tableColumn id="25" name="25" dataDxfId="5492"/>
    <tableColumn id="26" name="26" dataDxfId="5491"/>
    <tableColumn id="27" name="27" dataDxfId="5490"/>
    <tableColumn id="28" name="28" dataDxfId="5489"/>
    <tableColumn id="29" name="29" dataDxfId="5488"/>
    <tableColumn id="30" name="30" dataDxfId="5487"/>
    <tableColumn id="31" name="31" dataDxfId="5486"/>
  </tableColumns>
  <tableStyleInfo name="TableStyleMedium9" showFirstColumn="0" showLastColumn="0" showRowStripes="1" showColumnStripes="0"/>
</table>
</file>

<file path=xl/tables/table174.xml><?xml version="1.0" encoding="utf-8"?>
<table xmlns="http://schemas.openxmlformats.org/spreadsheetml/2006/main" id="148" name="Tabela19212547149" displayName="Tabela19212547149" ref="I121:AM131" totalsRowShown="0" headerRowDxfId="5485" dataDxfId="5483" headerRowBorderDxfId="5484">
  <autoFilter ref="I121:AM1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482"/>
    <tableColumn id="2" name="2" dataDxfId="5481"/>
    <tableColumn id="3" name="3" dataDxfId="5480"/>
    <tableColumn id="4" name="4" dataDxfId="5479"/>
    <tableColumn id="5" name="5" dataDxfId="5478"/>
    <tableColumn id="6" name="6" dataDxfId="5477"/>
    <tableColumn id="7" name="7" dataDxfId="5476"/>
    <tableColumn id="8" name="8" dataDxfId="5475"/>
    <tableColumn id="9" name="9" dataDxfId="5474"/>
    <tableColumn id="10" name="10" dataDxfId="5473"/>
    <tableColumn id="11" name="11" dataDxfId="5472"/>
    <tableColumn id="12" name="12" dataDxfId="5471"/>
    <tableColumn id="13" name="13" dataDxfId="5470"/>
    <tableColumn id="14" name="14" dataDxfId="5469"/>
    <tableColumn id="15" name="15" dataDxfId="5468"/>
    <tableColumn id="16" name="16" dataDxfId="5467"/>
    <tableColumn id="17" name="17" dataDxfId="5466"/>
    <tableColumn id="18" name="18" dataDxfId="5465"/>
    <tableColumn id="19" name="19" dataDxfId="5464"/>
    <tableColumn id="20" name="20" dataDxfId="5463"/>
    <tableColumn id="21" name="21" dataDxfId="5462"/>
    <tableColumn id="22" name="22" dataDxfId="5461"/>
    <tableColumn id="23" name="23" dataDxfId="5460"/>
    <tableColumn id="24" name="24" dataDxfId="5459"/>
    <tableColumn id="25" name="25" dataDxfId="5458"/>
    <tableColumn id="26" name="26" dataDxfId="5457"/>
    <tableColumn id="27" name="27" dataDxfId="5456"/>
    <tableColumn id="28" name="28" dataDxfId="5455"/>
    <tableColumn id="29" name="29" dataDxfId="5454"/>
    <tableColumn id="30" name="30" dataDxfId="5453"/>
    <tableColumn id="31" name="31" dataDxfId="5452"/>
  </tableColumns>
  <tableStyleInfo name="TableStyleMedium9" showFirstColumn="0" showLastColumn="0" showRowStripes="1" showColumnStripes="0"/>
</table>
</file>

<file path=xl/tables/table175.xml><?xml version="1.0" encoding="utf-8"?>
<table xmlns="http://schemas.openxmlformats.org/spreadsheetml/2006/main" id="149" name="Tabela2548150" displayName="Tabela2548150" ref="I157:AM167" totalsRowShown="0" headerRowDxfId="5451" dataDxfId="5450">
  <autoFilter ref="I157:AM1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449"/>
    <tableColumn id="2" name="2" dataDxfId="5448"/>
    <tableColumn id="3" name="3" dataDxfId="5447"/>
    <tableColumn id="4" name="4" dataDxfId="5446"/>
    <tableColumn id="5" name="5" dataDxfId="5445"/>
    <tableColumn id="6" name="6" dataDxfId="5444"/>
    <tableColumn id="7" name="7" dataDxfId="5443"/>
    <tableColumn id="8" name="8" dataDxfId="5442"/>
    <tableColumn id="9" name="9" dataDxfId="5441"/>
    <tableColumn id="10" name="10" dataDxfId="5440"/>
    <tableColumn id="11" name="11" dataDxfId="5439"/>
    <tableColumn id="12" name="12" dataDxfId="5438"/>
    <tableColumn id="13" name="13" dataDxfId="5437"/>
    <tableColumn id="14" name="14" dataDxfId="5436"/>
    <tableColumn id="15" name="15" dataDxfId="5435"/>
    <tableColumn id="16" name="16" dataDxfId="5434"/>
    <tableColumn id="17" name="17" dataDxfId="5433"/>
    <tableColumn id="18" name="18" dataDxfId="5432"/>
    <tableColumn id="19" name="19" dataDxfId="5431"/>
    <tableColumn id="20" name="20" dataDxfId="5430"/>
    <tableColumn id="21" name="21" dataDxfId="5429"/>
    <tableColumn id="22" name="22" dataDxfId="5428"/>
    <tableColumn id="23" name="23" dataDxfId="5427"/>
    <tableColumn id="24" name="24" dataDxfId="5426"/>
    <tableColumn id="25" name="25" dataDxfId="5425"/>
    <tableColumn id="26" name="26" dataDxfId="5424"/>
    <tableColumn id="27" name="27" dataDxfId="5423"/>
    <tableColumn id="28" name="28" dataDxfId="5422"/>
    <tableColumn id="29" name="29" dataDxfId="5421"/>
    <tableColumn id="30" name="30" dataDxfId="5420"/>
    <tableColumn id="31" name="31" dataDxfId="5419"/>
  </tableColumns>
  <tableStyleInfo name="TableStyleMedium9" showFirstColumn="0" showLastColumn="0" showRowStripes="1" showColumnStripes="0"/>
</table>
</file>

<file path=xl/tables/table176.xml><?xml version="1.0" encoding="utf-8"?>
<table xmlns="http://schemas.openxmlformats.org/spreadsheetml/2006/main" id="150" name="Tabela2649151" displayName="Tabela2649151" ref="I169:AM179" totalsRowShown="0" headerRowDxfId="5418" headerRowBorderDxfId="5417">
  <autoFilter ref="I169:AM1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416"/>
    <tableColumn id="2" name="2" dataDxfId="5415"/>
    <tableColumn id="3" name="3" dataDxfId="5414"/>
    <tableColumn id="4" name="4" dataDxfId="5413"/>
    <tableColumn id="5" name="5" dataDxfId="5412"/>
    <tableColumn id="6" name="6" dataDxfId="5411"/>
    <tableColumn id="7" name="7" dataDxfId="5410"/>
    <tableColumn id="8" name="8" dataDxfId="5409"/>
    <tableColumn id="9" name="9" dataDxfId="5408"/>
    <tableColumn id="10" name="10" dataDxfId="5407"/>
    <tableColumn id="11" name="11" dataDxfId="5406"/>
    <tableColumn id="12" name="12" dataDxfId="5405"/>
    <tableColumn id="13" name="13" dataDxfId="5404"/>
    <tableColumn id="14" name="14" dataDxfId="5403"/>
    <tableColumn id="15" name="15" dataDxfId="5402"/>
    <tableColumn id="16" name="16" dataDxfId="5401"/>
    <tableColumn id="17" name="17" dataDxfId="5400"/>
    <tableColumn id="18" name="18" dataDxfId="5399"/>
    <tableColumn id="19" name="19" dataDxfId="5398"/>
    <tableColumn id="20" name="20" dataDxfId="5397"/>
    <tableColumn id="21" name="21" dataDxfId="5396"/>
    <tableColumn id="22" name="22" dataDxfId="5395"/>
    <tableColumn id="23" name="23" dataDxfId="5394"/>
    <tableColumn id="24" name="24" dataDxfId="5393"/>
    <tableColumn id="25" name="25" dataDxfId="5392"/>
    <tableColumn id="26" name="26" dataDxfId="5391"/>
    <tableColumn id="27" name="27" dataDxfId="5390"/>
    <tableColumn id="28" name="28" dataDxfId="5389"/>
    <tableColumn id="29" name="29" dataDxfId="5388"/>
    <tableColumn id="30" name="30" dataDxfId="5387"/>
    <tableColumn id="31" name="31" dataDxfId="5386"/>
  </tableColumns>
  <tableStyleInfo name="TableStyleMedium9" showFirstColumn="0" showLastColumn="0" showRowStripes="1" showColumnStripes="0"/>
</table>
</file>

<file path=xl/tables/table177.xml><?xml version="1.0" encoding="utf-8"?>
<table xmlns="http://schemas.openxmlformats.org/spreadsheetml/2006/main" id="151" name="Tabela2750152" displayName="Tabela2750152" ref="I181:AM191" totalsRowShown="0" headerRowDxfId="5385">
  <autoFilter ref="I181:AM19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384"/>
    <tableColumn id="2" name="2" dataDxfId="5383"/>
    <tableColumn id="3" name="3" dataDxfId="5382"/>
    <tableColumn id="4" name="4" dataDxfId="5381"/>
    <tableColumn id="5" name="5" dataDxfId="5380"/>
    <tableColumn id="6" name="6" dataDxfId="5379"/>
    <tableColumn id="7" name="7" dataDxfId="5378"/>
    <tableColumn id="8" name="8" dataDxfId="5377"/>
    <tableColumn id="9" name="9" dataDxfId="5376"/>
    <tableColumn id="10" name="10" dataDxfId="5375"/>
    <tableColumn id="11" name="11" dataDxfId="5374"/>
    <tableColumn id="12" name="12" dataDxfId="5373"/>
    <tableColumn id="13" name="13" dataDxfId="5372"/>
    <tableColumn id="14" name="14" dataDxfId="5371"/>
    <tableColumn id="15" name="15" dataDxfId="5370"/>
    <tableColumn id="16" name="16" dataDxfId="5369"/>
    <tableColumn id="17" name="17" dataDxfId="5368"/>
    <tableColumn id="18" name="18" dataDxfId="5367"/>
    <tableColumn id="19" name="19" dataDxfId="5366"/>
    <tableColumn id="20" name="20" dataDxfId="5365"/>
    <tableColumn id="21" name="21" dataDxfId="5364"/>
    <tableColumn id="22" name="22" dataDxfId="5363"/>
    <tableColumn id="23" name="23" dataDxfId="5362"/>
    <tableColumn id="24" name="24" dataDxfId="5361"/>
    <tableColumn id="25" name="25" dataDxfId="5360"/>
    <tableColumn id="26" name="26" dataDxfId="5359"/>
    <tableColumn id="27" name="27" dataDxfId="5358"/>
    <tableColumn id="28" name="28" dataDxfId="5357"/>
    <tableColumn id="29" name="29" dataDxfId="5356"/>
    <tableColumn id="30" name="30" dataDxfId="5355"/>
    <tableColumn id="31" name="31" dataDxfId="5354"/>
  </tableColumns>
  <tableStyleInfo name="TableStyleMedium9" showFirstColumn="0" showLastColumn="0" showRowStripes="1" showColumnStripes="0"/>
</table>
</file>

<file path=xl/tables/table178.xml><?xml version="1.0" encoding="utf-8"?>
<table xmlns="http://schemas.openxmlformats.org/spreadsheetml/2006/main" id="152" name="Tabela2851153" displayName="Tabela2851153" ref="I193:AM203" totalsRowShown="0" headerRowDxfId="5353" dataDxfId="5351" headerRowBorderDxfId="5352">
  <autoFilter ref="I193:AM20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350"/>
    <tableColumn id="2" name="2" dataDxfId="5349"/>
    <tableColumn id="3" name="3" dataDxfId="5348"/>
    <tableColumn id="4" name="4" dataDxfId="5347"/>
    <tableColumn id="5" name="5" dataDxfId="5346"/>
    <tableColumn id="6" name="6" dataDxfId="5345"/>
    <tableColumn id="7" name="7" dataDxfId="5344"/>
    <tableColumn id="8" name="8" dataDxfId="5343"/>
    <tableColumn id="9" name="9" dataDxfId="5342"/>
    <tableColumn id="10" name="10" dataDxfId="5341"/>
    <tableColumn id="11" name="11" dataDxfId="5340"/>
    <tableColumn id="12" name="12" dataDxfId="5339"/>
    <tableColumn id="13" name="13" dataDxfId="5338"/>
    <tableColumn id="14" name="14" dataDxfId="5337"/>
    <tableColumn id="15" name="15" dataDxfId="5336"/>
    <tableColumn id="16" name="16" dataDxfId="5335"/>
    <tableColumn id="17" name="17" dataDxfId="5334"/>
    <tableColumn id="18" name="18" dataDxfId="5333"/>
    <tableColumn id="19" name="19" dataDxfId="5332"/>
    <tableColumn id="20" name="20" dataDxfId="5331"/>
    <tableColumn id="21" name="21" dataDxfId="5330"/>
    <tableColumn id="22" name="22" dataDxfId="5329"/>
    <tableColumn id="23" name="23" dataDxfId="5328"/>
    <tableColumn id="24" name="24" dataDxfId="5327"/>
    <tableColumn id="25" name="25" dataDxfId="5326"/>
    <tableColumn id="26" name="26" dataDxfId="5325"/>
    <tableColumn id="27" name="27" dataDxfId="5324"/>
    <tableColumn id="28" name="28" dataDxfId="5323"/>
    <tableColumn id="29" name="29" dataDxfId="5322"/>
    <tableColumn id="30" name="30" dataDxfId="5321"/>
    <tableColumn id="31" name="31" dataDxfId="5320"/>
  </tableColumns>
  <tableStyleInfo name="TableStyleMedium9" showFirstColumn="0" showLastColumn="0" showRowStripes="1" showColumnStripes="0"/>
</table>
</file>

<file path=xl/tables/table179.xml><?xml version="1.0" encoding="utf-8"?>
<table xmlns="http://schemas.openxmlformats.org/spreadsheetml/2006/main" id="153" name="Tabela164058154" displayName="Tabela164058154" ref="B218:G227" headerRowCount="0" totalsRowShown="0">
  <tableColumns count="6">
    <tableColumn id="1" name="Kolumna1" dataDxfId="5319">
      <calculatedColumnFormula>'Wzorzec kategorii'!B180</calculatedColumnFormula>
    </tableColumn>
    <tableColumn id="2" name="Kolumna2" dataDxfId="5318"/>
    <tableColumn id="3" name="Kolumna3" dataDxfId="5317">
      <calculatedColumnFormula>SUM(Tabela19234559155[#This Row])</calculatedColumnFormula>
    </tableColumn>
    <tableColumn id="4" name="Kolumna4" dataDxfId="5316">
      <calculatedColumnFormula>C218-D218</calculatedColumnFormula>
    </tableColumn>
    <tableColumn id="5" name="Kolumna5" dataDxfId="5315">
      <calculatedColumnFormula>IFERROR(D218/C218,"")</calculatedColumnFormula>
    </tableColumn>
    <tableColumn id="6" name="Kolumna6" dataDxfId="5314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21" name="Tabela1922" displayName="Tabela1922" ref="I111:AM116" totalsRowShown="0" headerRowDxfId="8172" dataDxfId="8170" headerRowBorderDxfId="8171">
  <autoFilter ref="I111:AM1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8169"/>
    <tableColumn id="2" name="2" dataDxfId="8168"/>
    <tableColumn id="3" name="3" dataDxfId="8167"/>
    <tableColumn id="4" name="4" dataDxfId="8166"/>
    <tableColumn id="5" name="5" dataDxfId="8165"/>
    <tableColumn id="6" name="6" dataDxfId="8164"/>
    <tableColumn id="7" name="7" dataDxfId="8163"/>
    <tableColumn id="8" name="8" dataDxfId="8162"/>
    <tableColumn id="9" name="9" dataDxfId="8161"/>
    <tableColumn id="10" name="10" dataDxfId="8160"/>
    <tableColumn id="11" name="11" dataDxfId="8159"/>
    <tableColumn id="12" name="12" dataDxfId="8158"/>
    <tableColumn id="13" name="13" dataDxfId="8157"/>
    <tableColumn id="14" name="14" dataDxfId="8156"/>
    <tableColumn id="15" name="15" dataDxfId="8155"/>
    <tableColumn id="16" name="16" dataDxfId="8154"/>
    <tableColumn id="17" name="17" dataDxfId="8153"/>
    <tableColumn id="18" name="18" dataDxfId="8152"/>
    <tableColumn id="19" name="19" dataDxfId="8151"/>
    <tableColumn id="20" name="20" dataDxfId="8150"/>
    <tableColumn id="21" name="21" dataDxfId="8149"/>
    <tableColumn id="22" name="22" dataDxfId="8148"/>
    <tableColumn id="23" name="23" dataDxfId="8147"/>
    <tableColumn id="24" name="24" dataDxfId="8146"/>
    <tableColumn id="25" name="25" dataDxfId="8145"/>
    <tableColumn id="26" name="26" dataDxfId="8144"/>
    <tableColumn id="27" name="27" dataDxfId="8143"/>
    <tableColumn id="28" name="28" dataDxfId="8142"/>
    <tableColumn id="29" name="29" dataDxfId="8141"/>
    <tableColumn id="30" name="30" dataDxfId="8140"/>
    <tableColumn id="31" name="31" dataDxfId="8139"/>
  </tableColumns>
  <tableStyleInfo name="TableStyleMedium9" showFirstColumn="0" showLastColumn="0" showRowStripes="1" showColumnStripes="0"/>
</table>
</file>

<file path=xl/tables/table180.xml><?xml version="1.0" encoding="utf-8"?>
<table xmlns="http://schemas.openxmlformats.org/spreadsheetml/2006/main" id="154" name="Tabela19234559155" displayName="Tabela19234559155" ref="I217:AM227" totalsRowShown="0" headerRowDxfId="5313" dataDxfId="5311" headerRowBorderDxfId="5312">
  <autoFilter ref="I217:AM2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310"/>
    <tableColumn id="2" name="2" dataDxfId="5309"/>
    <tableColumn id="3" name="3" dataDxfId="5308"/>
    <tableColumn id="4" name="4" dataDxfId="5307"/>
    <tableColumn id="5" name="5" dataDxfId="5306"/>
    <tableColumn id="6" name="6" dataDxfId="5305"/>
    <tableColumn id="7" name="7" dataDxfId="5304"/>
    <tableColumn id="8" name="8" dataDxfId="5303"/>
    <tableColumn id="9" name="9" dataDxfId="5302"/>
    <tableColumn id="10" name="10" dataDxfId="5301"/>
    <tableColumn id="11" name="11" dataDxfId="5300"/>
    <tableColumn id="12" name="12" dataDxfId="5299"/>
    <tableColumn id="13" name="13" dataDxfId="5298"/>
    <tableColumn id="14" name="14" dataDxfId="5297"/>
    <tableColumn id="15" name="15" dataDxfId="5296"/>
    <tableColumn id="16" name="16" dataDxfId="5295"/>
    <tableColumn id="17" name="17" dataDxfId="5294"/>
    <tableColumn id="18" name="18" dataDxfId="5293"/>
    <tableColumn id="19" name="19" dataDxfId="5292"/>
    <tableColumn id="20" name="20" dataDxfId="5291"/>
    <tableColumn id="21" name="21" dataDxfId="5290"/>
    <tableColumn id="22" name="22" dataDxfId="5289"/>
    <tableColumn id="23" name="23" dataDxfId="5288"/>
    <tableColumn id="24" name="24" dataDxfId="5287"/>
    <tableColumn id="25" name="25" dataDxfId="5286"/>
    <tableColumn id="26" name="26" dataDxfId="5285"/>
    <tableColumn id="27" name="27" dataDxfId="5284"/>
    <tableColumn id="28" name="28" dataDxfId="5283"/>
    <tableColumn id="29" name="29" dataDxfId="5282"/>
    <tableColumn id="30" name="30" dataDxfId="5281"/>
    <tableColumn id="31" name="31" dataDxfId="5280"/>
  </tableColumns>
  <tableStyleInfo name="TableStyleMedium9" showFirstColumn="0" showLastColumn="0" showRowStripes="1" showColumnStripes="0"/>
</table>
</file>

<file path=xl/tables/table181.xml><?xml version="1.0" encoding="utf-8"?>
<table xmlns="http://schemas.openxmlformats.org/spreadsheetml/2006/main" id="155" name="Tabela16405860156" displayName="Tabela16405860156" ref="B230:G239" headerRowCount="0" totalsRowShown="0">
  <tableColumns count="6">
    <tableColumn id="1" name="Kolumna1" dataDxfId="5279">
      <calculatedColumnFormula>'Wzorzec kategorii'!B192</calculatedColumnFormula>
    </tableColumn>
    <tableColumn id="2" name="Kolumna2" dataDxfId="5278"/>
    <tableColumn id="3" name="Kolumna3" dataDxfId="5277">
      <calculatedColumnFormula>SUM(Tabela1923455962158[#This Row])</calculatedColumnFormula>
    </tableColumn>
    <tableColumn id="4" name="Kolumna4" dataDxfId="5276">
      <calculatedColumnFormula>C230-D230</calculatedColumnFormula>
    </tableColumn>
    <tableColumn id="5" name="Kolumna5" dataDxfId="5275">
      <calculatedColumnFormula>IFERROR(D230/C230,"")</calculatedColumnFormula>
    </tableColumn>
    <tableColumn id="6" name="Kolumna6" dataDxfId="5274"/>
  </tableColumns>
  <tableStyleInfo name="TableStyleLight9" showFirstColumn="0" showLastColumn="0" showRowStripes="1" showColumnStripes="0"/>
</table>
</file>

<file path=xl/tables/table182.xml><?xml version="1.0" encoding="utf-8"?>
<table xmlns="http://schemas.openxmlformats.org/spreadsheetml/2006/main" id="156" name="Tabela1640586061157" displayName="Tabela1640586061157" ref="B242:G251" headerRowCount="0" totalsRowShown="0">
  <tableColumns count="6">
    <tableColumn id="1" name="Kolumna1" dataDxfId="5273">
      <calculatedColumnFormula>'Wzorzec kategorii'!B204</calculatedColumnFormula>
    </tableColumn>
    <tableColumn id="2" name="Kolumna2" dataDxfId="5272"/>
    <tableColumn id="3" name="Kolumna3" dataDxfId="5271">
      <calculatedColumnFormula>SUM(Tabela1923455963159[#This Row])</calculatedColumnFormula>
    </tableColumn>
    <tableColumn id="4" name="Kolumna4" dataDxfId="5270">
      <calculatedColumnFormula>C242-D242</calculatedColumnFormula>
    </tableColumn>
    <tableColumn id="5" name="Kolumna5" dataDxfId="5269">
      <calculatedColumnFormula>IFERROR(D242/C242,"")</calculatedColumnFormula>
    </tableColumn>
    <tableColumn id="6" name="Kolumna6" dataDxfId="5268"/>
  </tableColumns>
  <tableStyleInfo name="TableStyleLight9" showFirstColumn="0" showLastColumn="0" showRowStripes="1" showColumnStripes="0"/>
</table>
</file>

<file path=xl/tables/table183.xml><?xml version="1.0" encoding="utf-8"?>
<table xmlns="http://schemas.openxmlformats.org/spreadsheetml/2006/main" id="157" name="Tabela1923455962158" displayName="Tabela1923455962158" ref="I229:AM239" totalsRowShown="0" headerRowDxfId="5267" dataDxfId="5265" headerRowBorderDxfId="5266">
  <autoFilter ref="I229:AM2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264"/>
    <tableColumn id="2" name="2" dataDxfId="5263"/>
    <tableColumn id="3" name="3" dataDxfId="5262"/>
    <tableColumn id="4" name="4" dataDxfId="5261"/>
    <tableColumn id="5" name="5" dataDxfId="5260"/>
    <tableColumn id="6" name="6" dataDxfId="5259"/>
    <tableColumn id="7" name="7" dataDxfId="5258"/>
    <tableColumn id="8" name="8" dataDxfId="5257"/>
    <tableColumn id="9" name="9" dataDxfId="5256"/>
    <tableColumn id="10" name="10" dataDxfId="5255"/>
    <tableColumn id="11" name="11" dataDxfId="5254"/>
    <tableColumn id="12" name="12" dataDxfId="5253"/>
    <tableColumn id="13" name="13" dataDxfId="5252"/>
    <tableColumn id="14" name="14" dataDxfId="5251"/>
    <tableColumn id="15" name="15" dataDxfId="5250"/>
    <tableColumn id="16" name="16" dataDxfId="5249"/>
    <tableColumn id="17" name="17" dataDxfId="5248"/>
    <tableColumn id="18" name="18" dataDxfId="5247"/>
    <tableColumn id="19" name="19" dataDxfId="5246"/>
    <tableColumn id="20" name="20" dataDxfId="5245"/>
    <tableColumn id="21" name="21" dataDxfId="5244"/>
    <tableColumn id="22" name="22" dataDxfId="5243"/>
    <tableColumn id="23" name="23" dataDxfId="5242"/>
    <tableColumn id="24" name="24" dataDxfId="5241"/>
    <tableColumn id="25" name="25" dataDxfId="5240"/>
    <tableColumn id="26" name="26" dataDxfId="5239"/>
    <tableColumn id="27" name="27" dataDxfId="5238"/>
    <tableColumn id="28" name="28" dataDxfId="5237"/>
    <tableColumn id="29" name="29" dataDxfId="5236"/>
    <tableColumn id="30" name="30" dataDxfId="5235"/>
    <tableColumn id="31" name="31" dataDxfId="5234"/>
  </tableColumns>
  <tableStyleInfo name="TableStyleMedium9" showFirstColumn="0" showLastColumn="0" showRowStripes="1" showColumnStripes="0"/>
</table>
</file>

<file path=xl/tables/table184.xml><?xml version="1.0" encoding="utf-8"?>
<table xmlns="http://schemas.openxmlformats.org/spreadsheetml/2006/main" id="158" name="Tabela1923455963159" displayName="Tabela1923455963159" ref="I241:AM251" totalsRowShown="0" headerRowDxfId="5233" dataDxfId="5231" headerRowBorderDxfId="5232">
  <autoFilter ref="I241:AM25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230"/>
    <tableColumn id="2" name="2" dataDxfId="5229"/>
    <tableColumn id="3" name="3" dataDxfId="5228"/>
    <tableColumn id="4" name="4" dataDxfId="5227"/>
    <tableColumn id="5" name="5" dataDxfId="5226"/>
    <tableColumn id="6" name="6" dataDxfId="5225"/>
    <tableColumn id="7" name="7" dataDxfId="5224"/>
    <tableColumn id="8" name="8" dataDxfId="5223"/>
    <tableColumn id="9" name="9" dataDxfId="5222"/>
    <tableColumn id="10" name="10" dataDxfId="5221"/>
    <tableColumn id="11" name="11" dataDxfId="5220"/>
    <tableColumn id="12" name="12" dataDxfId="5219"/>
    <tableColumn id="13" name="13" dataDxfId="5218"/>
    <tableColumn id="14" name="14" dataDxfId="5217"/>
    <tableColumn id="15" name="15" dataDxfId="5216"/>
    <tableColumn id="16" name="16" dataDxfId="5215"/>
    <tableColumn id="17" name="17" dataDxfId="5214"/>
    <tableColumn id="18" name="18" dataDxfId="5213"/>
    <tableColumn id="19" name="19" dataDxfId="5212"/>
    <tableColumn id="20" name="20" dataDxfId="5211"/>
    <tableColumn id="21" name="21" dataDxfId="5210"/>
    <tableColumn id="22" name="22" dataDxfId="5209"/>
    <tableColumn id="23" name="23" dataDxfId="5208"/>
    <tableColumn id="24" name="24" dataDxfId="5207"/>
    <tableColumn id="25" name="25" dataDxfId="5206"/>
    <tableColumn id="26" name="26" dataDxfId="5205"/>
    <tableColumn id="27" name="27" dataDxfId="5204"/>
    <tableColumn id="28" name="28" dataDxfId="5203"/>
    <tableColumn id="29" name="29" dataDxfId="5202"/>
    <tableColumn id="30" name="30" dataDxfId="5201"/>
    <tableColumn id="31" name="31" dataDxfId="5200"/>
  </tableColumns>
  <tableStyleInfo name="TableStyleMedium9" showFirstColumn="0" showLastColumn="0" showRowStripes="1" showColumnStripes="0"/>
</table>
</file>

<file path=xl/tables/table185.xml><?xml version="1.0" encoding="utf-8"?>
<table xmlns="http://schemas.openxmlformats.org/spreadsheetml/2006/main" id="159" name="Tabela33064160" displayName="Tabela33064160" ref="I51:AM66" totalsRowShown="0" headerRowDxfId="5199">
  <autoFilter ref="I51:AM6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198"/>
    <tableColumn id="2" name="2" dataDxfId="5197"/>
    <tableColumn id="3" name="3" dataDxfId="5196"/>
    <tableColumn id="4" name="4" dataDxfId="5195"/>
    <tableColumn id="5" name="5" dataDxfId="5194"/>
    <tableColumn id="6" name="6" dataDxfId="5193"/>
    <tableColumn id="7" name="7" dataDxfId="5192"/>
    <tableColumn id="8" name="8" dataDxfId="5191"/>
    <tableColumn id="9" name="9" dataDxfId="5190"/>
    <tableColumn id="10" name="10" dataDxfId="5189"/>
    <tableColumn id="11" name="11" dataDxfId="5188"/>
    <tableColumn id="12" name="12" dataDxfId="5187"/>
    <tableColumn id="13" name="13" dataDxfId="5186"/>
    <tableColumn id="14" name="14" dataDxfId="5185"/>
    <tableColumn id="15" name="15" dataDxfId="5184"/>
    <tableColumn id="16" name="16" dataDxfId="5183"/>
    <tableColumn id="17" name="17" dataDxfId="5182"/>
    <tableColumn id="18" name="18" dataDxfId="5181"/>
    <tableColumn id="19" name="19" dataDxfId="5180"/>
    <tableColumn id="20" name="20" dataDxfId="5179"/>
    <tableColumn id="21" name="21" dataDxfId="5178"/>
    <tableColumn id="22" name="22" dataDxfId="5177"/>
    <tableColumn id="23" name="23" dataDxfId="5176"/>
    <tableColumn id="24" name="24" dataDxfId="5175"/>
    <tableColumn id="25" name="25" dataDxfId="5174"/>
    <tableColumn id="26" name="26" dataDxfId="5173"/>
    <tableColumn id="27" name="27" dataDxfId="5172"/>
    <tableColumn id="28" name="28" dataDxfId="5171"/>
    <tableColumn id="29" name="29" dataDxfId="5170"/>
    <tableColumn id="30" name="30" dataDxfId="5169"/>
    <tableColumn id="31" name="31" dataDxfId="5168"/>
  </tableColumns>
  <tableStyleInfo name="TableStyleMedium9" showFirstColumn="0" showLastColumn="0" showRowStripes="1" showColumnStripes="0"/>
</table>
</file>

<file path=xl/tables/table186.xml><?xml version="1.0" encoding="utf-8"?>
<table xmlns="http://schemas.openxmlformats.org/spreadsheetml/2006/main" id="160" name="Jedzenie2161" displayName="Jedzenie2161" ref="B74:G83" headerRowCount="0" totalsRowShown="0" headerRowDxfId="5167" dataDxfId="5166">
  <tableColumns count="6">
    <tableColumn id="1" name="Kategoria" dataDxfId="5165">
      <calculatedColumnFormula>'Wzorzec kategorii'!B36</calculatedColumnFormula>
    </tableColumn>
    <tableColumn id="2" name="0" headerRowDxfId="5164" dataDxfId="5163"/>
    <tableColumn id="3" name="02" headerRowDxfId="5162" dataDxfId="5161">
      <calculatedColumnFormula>SUM(Tabela330164[#This Row])</calculatedColumnFormula>
    </tableColumn>
    <tableColumn id="4" name="Kolumna4" dataDxfId="5160">
      <calculatedColumnFormula>C74-D74</calculatedColumnFormula>
    </tableColumn>
    <tableColumn id="5" name="Kolumna1" dataDxfId="5159">
      <calculatedColumnFormula>IFERROR(D74/C74,"")</calculatedColumnFormula>
    </tableColumn>
    <tableColumn id="6" name="Kolumna2" dataDxfId="5158"/>
  </tableColumns>
  <tableStyleInfo name="TableStyleLight9" showFirstColumn="0" showLastColumn="0" showRowStripes="1" showColumnStripes="0"/>
</table>
</file>

<file path=xl/tables/table187.xml><?xml version="1.0" encoding="utf-8"?>
<table xmlns="http://schemas.openxmlformats.org/spreadsheetml/2006/main" id="161" name="Transport3162" displayName="Transport3162" ref="B98:G107" headerRowCount="0" totalsRowShown="0">
  <tableColumns count="6">
    <tableColumn id="1" name="Kolumna1" dataDxfId="5157">
      <calculatedColumnFormula>'Wzorzec kategorii'!B60</calculatedColumnFormula>
    </tableColumn>
    <tableColumn id="2" name="Kolumna2" dataDxfId="5156"/>
    <tableColumn id="3" name="Kolumna3" dataDxfId="5155">
      <calculatedColumnFormula>SUM(Tabela1942176[#This Row])</calculatedColumnFormula>
    </tableColumn>
    <tableColumn id="4" name="Kolumna4" dataDxfId="5154">
      <calculatedColumnFormula>C98-D98</calculatedColumnFormula>
    </tableColumn>
    <tableColumn id="5" name="Kolumna5" dataDxfId="5153">
      <calculatedColumnFormula>IFERROR(D98/C98,"")</calculatedColumnFormula>
    </tableColumn>
    <tableColumn id="6" name="Kolumna6" dataDxfId="5152"/>
  </tableColumns>
  <tableStyleInfo name="TableStyleLight9" showFirstColumn="0" showLastColumn="0" showRowStripes="1" showColumnStripes="0"/>
</table>
</file>

<file path=xl/tables/table188.xml><?xml version="1.0" encoding="utf-8"?>
<table xmlns="http://schemas.openxmlformats.org/spreadsheetml/2006/main" id="162" name="Tabela718163" displayName="Tabela718163" ref="B52:G66" headerRowCount="0" totalsRowShown="0" headerRowDxfId="5151" dataDxfId="5150">
  <tableColumns count="6">
    <tableColumn id="1" name="Kolumna1" dataDxfId="5149">
      <calculatedColumnFormula>'Wzorzec kategorii'!B15</calculatedColumnFormula>
    </tableColumn>
    <tableColumn id="2" name="Kolumna2" dataDxfId="5148"/>
    <tableColumn id="3" name="Kolumna3" dataDxfId="5147">
      <calculatedColumnFormula>SUM(Tabela33064192[#This Row])</calculatedColumnFormula>
    </tableColumn>
    <tableColumn id="4" name="Kolumna4" dataDxfId="5146">
      <calculatedColumnFormula>Tabela718163[[#This Row],[Kolumna3]]-Tabela718163[[#This Row],[Kolumna2]]</calculatedColumnFormula>
    </tableColumn>
    <tableColumn id="5" name="Kolumna5" dataDxfId="5145" dataCellStyle="Procentowy">
      <calculatedColumnFormula>IFERROR(D52/C52,"")</calculatedColumnFormula>
    </tableColumn>
    <tableColumn id="6" name="Kolumna6" dataDxfId="5144"/>
  </tableColumns>
  <tableStyleInfo name="TableStyleLight9" showFirstColumn="0" showLastColumn="0" showRowStripes="1" showColumnStripes="0"/>
</table>
</file>

<file path=xl/tables/table189.xml><?xml version="1.0" encoding="utf-8"?>
<table xmlns="http://schemas.openxmlformats.org/spreadsheetml/2006/main" id="163" name="Tabela330164" displayName="Tabela330164" ref="I73:AM83" totalsRowShown="0" headerRowDxfId="5143">
  <autoFilter ref="I73:AM8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142"/>
    <tableColumn id="2" name="2" dataDxfId="5141"/>
    <tableColumn id="3" name="3" dataDxfId="5140"/>
    <tableColumn id="4" name="4" dataDxfId="5139"/>
    <tableColumn id="5" name="5" dataDxfId="5138"/>
    <tableColumn id="6" name="6" dataDxfId="5137"/>
    <tableColumn id="7" name="7" dataDxfId="5136"/>
    <tableColumn id="8" name="8" dataDxfId="5135"/>
    <tableColumn id="9" name="9" dataDxfId="5134"/>
    <tableColumn id="10" name="10" dataDxfId="5133"/>
    <tableColumn id="11" name="11" dataDxfId="5132"/>
    <tableColumn id="12" name="12" dataDxfId="5131"/>
    <tableColumn id="13" name="13" dataDxfId="5130"/>
    <tableColumn id="14" name="14" dataDxfId="5129"/>
    <tableColumn id="15" name="15" dataDxfId="5128"/>
    <tableColumn id="16" name="16" dataDxfId="5127"/>
    <tableColumn id="17" name="17" dataDxfId="5126"/>
    <tableColumn id="18" name="18" dataDxfId="5125"/>
    <tableColumn id="19" name="19" dataDxfId="5124"/>
    <tableColumn id="20" name="20" dataDxfId="5123"/>
    <tableColumn id="21" name="21" dataDxfId="5122"/>
    <tableColumn id="22" name="22" dataDxfId="5121"/>
    <tableColumn id="23" name="23" dataDxfId="5120"/>
    <tableColumn id="24" name="24" dataDxfId="5119"/>
    <tableColumn id="25" name="25" dataDxfId="5118"/>
    <tableColumn id="26" name="26" dataDxfId="5117"/>
    <tableColumn id="27" name="27" dataDxfId="5116"/>
    <tableColumn id="28" name="28" dataDxfId="5115"/>
    <tableColumn id="29" name="29" dataDxfId="5114"/>
    <tableColumn id="30" name="30" dataDxfId="5113"/>
    <tableColumn id="31" name="31" dataDxfId="5112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22" name="Tabela1923" displayName="Tabela1923" ref="I154:AM162" totalsRowShown="0" headerRowDxfId="8138" dataDxfId="8136" headerRowBorderDxfId="8137">
  <autoFilter ref="I154:AM1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8135"/>
    <tableColumn id="2" name="2" dataDxfId="8134"/>
    <tableColumn id="3" name="3" dataDxfId="8133"/>
    <tableColumn id="4" name="4" dataDxfId="8132"/>
    <tableColumn id="5" name="5" dataDxfId="8131"/>
    <tableColumn id="6" name="6" dataDxfId="8130"/>
    <tableColumn id="7" name="7" dataDxfId="8129"/>
    <tableColumn id="8" name="8" dataDxfId="8128"/>
    <tableColumn id="9" name="9" dataDxfId="8127"/>
    <tableColumn id="10" name="10" dataDxfId="8126"/>
    <tableColumn id="11" name="11" dataDxfId="8125"/>
    <tableColumn id="12" name="12" dataDxfId="8124"/>
    <tableColumn id="13" name="13" dataDxfId="8123"/>
    <tableColumn id="14" name="14" dataDxfId="8122"/>
    <tableColumn id="15" name="15" dataDxfId="8121"/>
    <tableColumn id="16" name="16" dataDxfId="8120"/>
    <tableColumn id="17" name="17" dataDxfId="8119"/>
    <tableColumn id="18" name="18" dataDxfId="8118"/>
    <tableColumn id="19" name="19" dataDxfId="8117"/>
    <tableColumn id="20" name="20" dataDxfId="8116"/>
    <tableColumn id="21" name="21" dataDxfId="8115"/>
    <tableColumn id="22" name="22" dataDxfId="8114"/>
    <tableColumn id="23" name="23" dataDxfId="8113"/>
    <tableColumn id="24" name="24" dataDxfId="8112"/>
    <tableColumn id="25" name="25" dataDxfId="8111"/>
    <tableColumn id="26" name="26" dataDxfId="8110"/>
    <tableColumn id="27" name="27" dataDxfId="8109"/>
    <tableColumn id="28" name="28" dataDxfId="8108"/>
    <tableColumn id="29" name="29" dataDxfId="8107"/>
    <tableColumn id="30" name="30" dataDxfId="8106"/>
    <tableColumn id="31" name="31" dataDxfId="8105"/>
  </tableColumns>
  <tableStyleInfo name="TableStyleMedium9" showFirstColumn="0" showLastColumn="0" showRowStripes="1" showColumnStripes="0"/>
</table>
</file>

<file path=xl/tables/table190.xml><?xml version="1.0" encoding="utf-8"?>
<table xmlns="http://schemas.openxmlformats.org/spreadsheetml/2006/main" id="164" name="Tabela431165" displayName="Tabela431165" ref="B86:G95" headerRowCount="0" totalsRowShown="0" headerRowDxfId="5111">
  <tableColumns count="6">
    <tableColumn id="1" name="Kolumna1" dataDxfId="5110">
      <calculatedColumnFormula>'Wzorzec kategorii'!B48</calculatedColumnFormula>
    </tableColumn>
    <tableColumn id="2" name="Kolumna2" headerRowDxfId="5109" dataDxfId="5108"/>
    <tableColumn id="3" name="Kolumna3" headerRowDxfId="5107" dataDxfId="5106">
      <calculatedColumnFormula>SUM(Tabela1841175[#This Row])</calculatedColumnFormula>
    </tableColumn>
    <tableColumn id="4" name="Kolumna4" headerRowDxfId="5105" dataDxfId="5104">
      <calculatedColumnFormula>C86-D86</calculatedColumnFormula>
    </tableColumn>
    <tableColumn id="5" name="Kolumna5" headerRowDxfId="5103" dataDxfId="5102">
      <calculatedColumnFormula>IFERROR(D86/C86,"")</calculatedColumnFormula>
    </tableColumn>
    <tableColumn id="6" name="Kolumna6" headerRowDxfId="5101" dataDxfId="5100"/>
  </tableColumns>
  <tableStyleInfo name="TableStyleLight9" showFirstColumn="0" showLastColumn="0" showRowStripes="1" showColumnStripes="0"/>
</table>
</file>

<file path=xl/tables/table191.xml><?xml version="1.0" encoding="utf-8"?>
<table xmlns="http://schemas.openxmlformats.org/spreadsheetml/2006/main" id="165" name="Tabela832166" displayName="Tabela832166" ref="B110:G119" headerRowCount="0" totalsRowShown="0">
  <tableColumns count="6">
    <tableColumn id="1" name="Kolumna1" headerRowDxfId="5099" dataDxfId="5098">
      <calculatedColumnFormula>'Wzorzec kategorii'!B72</calculatedColumnFormula>
    </tableColumn>
    <tableColumn id="2" name="Kolumna2" dataDxfId="5097"/>
    <tableColumn id="3" name="Kolumna3" dataDxfId="5096">
      <calculatedColumnFormula>SUM(Tabela192143177[#This Row])</calculatedColumnFormula>
    </tableColumn>
    <tableColumn id="4" name="Kolumna4" dataDxfId="5095">
      <calculatedColumnFormula>C110-D110</calculatedColumnFormula>
    </tableColumn>
    <tableColumn id="5" name="Kolumna5" dataDxfId="5094">
      <calculatedColumnFormula>IFERROR(D110/C110,"")</calculatedColumnFormula>
    </tableColumn>
    <tableColumn id="6" name="Kolumna6" dataDxfId="5093"/>
  </tableColumns>
  <tableStyleInfo name="TableStyleLight9" showFirstColumn="0" showLastColumn="0" showRowStripes="1" showColumnStripes="0"/>
</table>
</file>

<file path=xl/tables/table192.xml><?xml version="1.0" encoding="utf-8"?>
<table xmlns="http://schemas.openxmlformats.org/spreadsheetml/2006/main" id="166" name="Tabela933167" displayName="Tabela933167" ref="B122:G131" headerRowCount="0" totalsRowShown="0">
  <tableColumns count="6">
    <tableColumn id="1" name="Kolumna1" headerRowDxfId="5092" dataDxfId="5091">
      <calculatedColumnFormula>'Wzorzec kategorii'!B84</calculatedColumnFormula>
    </tableColumn>
    <tableColumn id="2" name="Kolumna2" dataDxfId="5090"/>
    <tableColumn id="3" name="Kolumna3" dataDxfId="5089">
      <calculatedColumnFormula>SUM(Tabela19212547181[#This Row])</calculatedColumnFormula>
    </tableColumn>
    <tableColumn id="4" name="Kolumna4" dataDxfId="5088">
      <calculatedColumnFormula>C122-D122</calculatedColumnFormula>
    </tableColumn>
    <tableColumn id="5" name="Kolumna5" dataDxfId="5087">
      <calculatedColumnFormula>IFERROR(D122/C122,"")</calculatedColumnFormula>
    </tableColumn>
    <tableColumn id="6" name="Kolumna6" dataDxfId="5086"/>
  </tableColumns>
  <tableStyleInfo name="TableStyleLight9" showFirstColumn="0" showLastColumn="0" showRowStripes="1" showColumnStripes="0"/>
</table>
</file>

<file path=xl/tables/table193.xml><?xml version="1.0" encoding="utf-8"?>
<table xmlns="http://schemas.openxmlformats.org/spreadsheetml/2006/main" id="167" name="Tabela1034168" displayName="Tabela1034168" ref="B134:G143" headerRowCount="0" totalsRowShown="0">
  <tableColumns count="6">
    <tableColumn id="1" name="Kolumna1" headerRowDxfId="5085" dataDxfId="5084">
      <calculatedColumnFormula>'Wzorzec kategorii'!B96</calculatedColumnFormula>
    </tableColumn>
    <tableColumn id="2" name="Kolumna2" dataDxfId="5083"/>
    <tableColumn id="3" name="Kolumna3" dataDxfId="5082">
      <calculatedColumnFormula>SUM(Tabela19212446180[#This Row])</calculatedColumnFormula>
    </tableColumn>
    <tableColumn id="4" name="Kolumna4" dataDxfId="5081">
      <calculatedColumnFormula>C134-D134</calculatedColumnFormula>
    </tableColumn>
    <tableColumn id="5" name="Kolumna5" dataDxfId="5080">
      <calculatedColumnFormula>IFERROR(D134/C134,"")</calculatedColumnFormula>
    </tableColumn>
    <tableColumn id="6" name="Kolumna6" dataDxfId="5079"/>
  </tableColumns>
  <tableStyleInfo name="TableStyleLight9" showFirstColumn="0" showLastColumn="0" showRowStripes="1" showColumnStripes="0"/>
</table>
</file>

<file path=xl/tables/table194.xml><?xml version="1.0" encoding="utf-8"?>
<table xmlns="http://schemas.openxmlformats.org/spreadsheetml/2006/main" id="168" name="Tabela1135169" displayName="Tabela1135169" ref="B146:G155" headerRowCount="0" totalsRowShown="0">
  <tableColumns count="6">
    <tableColumn id="1" name="Kolumna1" dataDxfId="5078">
      <calculatedColumnFormula>'Wzorzec kategorii'!B108</calculatedColumnFormula>
    </tableColumn>
    <tableColumn id="2" name="Kolumna2" dataDxfId="5077"/>
    <tableColumn id="3" name="Kolumna3" dataDxfId="5076">
      <calculatedColumnFormula>SUM(Tabela192244178[#This Row])</calculatedColumnFormula>
    </tableColumn>
    <tableColumn id="4" name="Kolumna4" dataDxfId="5075">
      <calculatedColumnFormula>C146-D146</calculatedColumnFormula>
    </tableColumn>
    <tableColumn id="5" name="Kolumna5" dataDxfId="5074">
      <calculatedColumnFormula>IFERROR(D146/C146,"")</calculatedColumnFormula>
    </tableColumn>
    <tableColumn id="6" name="Kolumna6" dataDxfId="5073"/>
  </tableColumns>
  <tableStyleInfo name="TableStyleLight9" showFirstColumn="0" showLastColumn="0" showRowStripes="1" showColumnStripes="0"/>
</table>
</file>

<file path=xl/tables/table195.xml><?xml version="1.0" encoding="utf-8"?>
<table xmlns="http://schemas.openxmlformats.org/spreadsheetml/2006/main" id="169" name="Tabela1236170" displayName="Tabela1236170" ref="B158:G167" headerRowCount="0" totalsRowShown="0">
  <tableColumns count="6">
    <tableColumn id="1" name="Kolumna1" dataDxfId="5072">
      <calculatedColumnFormula>'Wzorzec kategorii'!B120</calculatedColumnFormula>
    </tableColumn>
    <tableColumn id="2" name="Kolumna2" dataDxfId="5071"/>
    <tableColumn id="3" name="Kolumna3" dataDxfId="5070">
      <calculatedColumnFormula>SUM(Tabela2548182[#This Row])</calculatedColumnFormula>
    </tableColumn>
    <tableColumn id="4" name="Kolumna4" dataDxfId="5069">
      <calculatedColumnFormula>C158-D158</calculatedColumnFormula>
    </tableColumn>
    <tableColumn id="5" name="Kolumna5" dataDxfId="5068">
      <calculatedColumnFormula>IFERROR(D158/C158,"")</calculatedColumnFormula>
    </tableColumn>
    <tableColumn id="6" name="Kolumna6"/>
  </tableColumns>
  <tableStyleInfo name="TableStyleLight9" showFirstColumn="0" showLastColumn="0" showRowStripes="1" showColumnStripes="0"/>
</table>
</file>

<file path=xl/tables/table196.xml><?xml version="1.0" encoding="utf-8"?>
<table xmlns="http://schemas.openxmlformats.org/spreadsheetml/2006/main" id="170" name="Tabela1337171" displayName="Tabela1337171" ref="B170:G179" headerRowCount="0" totalsRowShown="0">
  <tableColumns count="6">
    <tableColumn id="1" name="Kolumna1" dataDxfId="5067">
      <calculatedColumnFormula>'Wzorzec kategorii'!B132</calculatedColumnFormula>
    </tableColumn>
    <tableColumn id="2" name="Kolumna2" dataDxfId="5066"/>
    <tableColumn id="3" name="Kolumna3" dataDxfId="5065">
      <calculatedColumnFormula>SUM(Tabela2649183[#This Row])</calculatedColumnFormula>
    </tableColumn>
    <tableColumn id="4" name="Kolumna4" dataDxfId="5064">
      <calculatedColumnFormula>C170-D170</calculatedColumnFormula>
    </tableColumn>
    <tableColumn id="5" name="Kolumna5" dataDxfId="5063">
      <calculatedColumnFormula>IFERROR(D170/C170,"")</calculatedColumnFormula>
    </tableColumn>
    <tableColumn id="6" name="Kolumna6" dataDxfId="5062"/>
  </tableColumns>
  <tableStyleInfo name="TableStyleLight9" showFirstColumn="0" showLastColumn="0" showRowStripes="1" showColumnStripes="0"/>
</table>
</file>

<file path=xl/tables/table197.xml><?xml version="1.0" encoding="utf-8"?>
<table xmlns="http://schemas.openxmlformats.org/spreadsheetml/2006/main" id="171" name="Tabela1438172" displayName="Tabela1438172" ref="B182:G191" headerRowCount="0" totalsRowShown="0">
  <tableColumns count="6">
    <tableColumn id="1" name="Kolumna1" dataDxfId="5061">
      <calculatedColumnFormula>'Wzorzec kategorii'!B144</calculatedColumnFormula>
    </tableColumn>
    <tableColumn id="2" name="Kolumna2" dataDxfId="5060"/>
    <tableColumn id="3" name="Kolumna3" dataDxfId="5059">
      <calculatedColumnFormula>SUM(Tabela2750184[#This Row])</calculatedColumnFormula>
    </tableColumn>
    <tableColumn id="4" name="Kolumna4" dataDxfId="5058">
      <calculatedColumnFormula>C182-D182</calculatedColumnFormula>
    </tableColumn>
    <tableColumn id="5" name="Kolumna5" dataDxfId="5057">
      <calculatedColumnFormula>IFERROR(D182/C182,"")</calculatedColumnFormula>
    </tableColumn>
    <tableColumn id="6" name="Kolumna6" dataDxfId="5056"/>
  </tableColumns>
  <tableStyleInfo name="TableStyleLight9" showFirstColumn="0" showLastColumn="0" showRowStripes="1" showColumnStripes="0"/>
</table>
</file>

<file path=xl/tables/table198.xml><?xml version="1.0" encoding="utf-8"?>
<table xmlns="http://schemas.openxmlformats.org/spreadsheetml/2006/main" id="172" name="Tabela1539173" displayName="Tabela1539173" ref="B194:G203" headerRowCount="0" totalsRowShown="0">
  <tableColumns count="6">
    <tableColumn id="1" name="Kolumna1" dataDxfId="5055">
      <calculatedColumnFormula>'Wzorzec kategorii'!B156</calculatedColumnFormula>
    </tableColumn>
    <tableColumn id="2" name="Kolumna2" dataDxfId="5054"/>
    <tableColumn id="3" name="Kolumna3" dataDxfId="5053">
      <calculatedColumnFormula>SUM(Tabela2851185[#This Row])</calculatedColumnFormula>
    </tableColumn>
    <tableColumn id="4" name="Kolumna4" dataDxfId="5052">
      <calculatedColumnFormula>C194-D194</calculatedColumnFormula>
    </tableColumn>
    <tableColumn id="5" name="Kolumna5" dataDxfId="5051">
      <calculatedColumnFormula>IFERROR(D194/C194,"")</calculatedColumnFormula>
    </tableColumn>
    <tableColumn id="6" name="Kolumna6" dataDxfId="5050"/>
  </tableColumns>
  <tableStyleInfo name="TableStyleLight9" showFirstColumn="0" showLastColumn="0" showRowStripes="1" showColumnStripes="0"/>
</table>
</file>

<file path=xl/tables/table199.xml><?xml version="1.0" encoding="utf-8"?>
<table xmlns="http://schemas.openxmlformats.org/spreadsheetml/2006/main" id="173" name="Tabela1640174" displayName="Tabela1640174" ref="B206:G215" headerRowCount="0" totalsRowShown="0">
  <tableColumns count="6">
    <tableColumn id="1" name="Kolumna1" dataDxfId="5049">
      <calculatedColumnFormula>'Wzorzec kategorii'!B168</calculatedColumnFormula>
    </tableColumn>
    <tableColumn id="2" name="Kolumna2" dataDxfId="5048"/>
    <tableColumn id="3" name="Kolumna3" dataDxfId="5047">
      <calculatedColumnFormula>SUM(Tabela192345179[#This Row])</calculatedColumnFormula>
    </tableColumn>
    <tableColumn id="4" name="Kolumna4" dataDxfId="5046">
      <calculatedColumnFormula>C206-D206</calculatedColumnFormula>
    </tableColumn>
    <tableColumn id="5" name="Kolumna5" dataDxfId="5045">
      <calculatedColumnFormula>IFERROR(D206/C206,"")</calculatedColumnFormula>
    </tableColumn>
    <tableColumn id="6" name="Kolumna6" dataDxfId="5044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6" name="Transport" displayName="Transport" ref="B82:G89" headerRowCount="0" totalsRowShown="0">
  <tableColumns count="6">
    <tableColumn id="1" name="Kolumna1" dataDxfId="8388"/>
    <tableColumn id="2" name="Kolumna2" dataDxfId="8387"/>
    <tableColumn id="3" name="Kolumna3" dataDxfId="8386">
      <calculatedColumnFormula>SUM(Tabela19[#This Row])</calculatedColumnFormula>
    </tableColumn>
    <tableColumn id="4" name="Kolumna4" dataDxfId="8385">
      <calculatedColumnFormula>C82-D82</calculatedColumnFormula>
    </tableColumn>
    <tableColumn id="5" name="Kolumna5" dataDxfId="8384">
      <calculatedColumnFormula>IFERROR(D82/C82,"")</calculatedColumnFormula>
    </tableColumn>
    <tableColumn id="6" name="Kolumna6" dataDxfId="8383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id="23" name="Tabela192124" displayName="Tabela192124" ref="I104:AM109" totalsRowShown="0" headerRowDxfId="8104" dataDxfId="8102" headerRowBorderDxfId="8103">
  <autoFilter ref="I104:AM10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8101"/>
    <tableColumn id="2" name="2" dataDxfId="8100"/>
    <tableColumn id="3" name="3" dataDxfId="8099"/>
    <tableColumn id="4" name="4" dataDxfId="8098"/>
    <tableColumn id="5" name="5" dataDxfId="8097"/>
    <tableColumn id="6" name="6" dataDxfId="8096"/>
    <tableColumn id="7" name="7" dataDxfId="8095"/>
    <tableColumn id="8" name="8" dataDxfId="8094"/>
    <tableColumn id="9" name="9" dataDxfId="8093"/>
    <tableColumn id="10" name="10" dataDxfId="8092"/>
    <tableColumn id="11" name="11" dataDxfId="8091"/>
    <tableColumn id="12" name="12" dataDxfId="8090"/>
    <tableColumn id="13" name="13" dataDxfId="8089"/>
    <tableColumn id="14" name="14" dataDxfId="8088"/>
    <tableColumn id="15" name="15" dataDxfId="8087"/>
    <tableColumn id="16" name="16" dataDxfId="8086"/>
    <tableColumn id="17" name="17" dataDxfId="8085"/>
    <tableColumn id="18" name="18" dataDxfId="8084"/>
    <tableColumn id="19" name="19" dataDxfId="8083"/>
    <tableColumn id="20" name="20" dataDxfId="8082"/>
    <tableColumn id="21" name="21" dataDxfId="8081"/>
    <tableColumn id="22" name="22" dataDxfId="8080"/>
    <tableColumn id="23" name="23" dataDxfId="8079"/>
    <tableColumn id="24" name="24" dataDxfId="8078"/>
    <tableColumn id="25" name="25" dataDxfId="8077"/>
    <tableColumn id="26" name="26" dataDxfId="8076"/>
    <tableColumn id="27" name="27" dataDxfId="8075"/>
    <tableColumn id="28" name="28" dataDxfId="8074"/>
    <tableColumn id="29" name="29" dataDxfId="8073"/>
    <tableColumn id="30" name="30" dataDxfId="8072"/>
    <tableColumn id="31" name="31" dataDxfId="8071"/>
  </tableColumns>
  <tableStyleInfo name="TableStyleMedium9" showFirstColumn="0" showLastColumn="0" showRowStripes="1" showColumnStripes="0"/>
</table>
</file>

<file path=xl/tables/table200.xml><?xml version="1.0" encoding="utf-8"?>
<table xmlns="http://schemas.openxmlformats.org/spreadsheetml/2006/main" id="174" name="Tabela1841175" displayName="Tabela1841175" ref="I85:AM95" totalsRowShown="0" headerRowDxfId="5043" dataDxfId="5041" headerRowBorderDxfId="5042">
  <autoFilter ref="I85:AM9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040"/>
    <tableColumn id="2" name="2" dataDxfId="5039"/>
    <tableColumn id="3" name="3" dataDxfId="5038"/>
    <tableColumn id="4" name="4" dataDxfId="5037"/>
    <tableColumn id="5" name="5" dataDxfId="5036"/>
    <tableColumn id="6" name="6" dataDxfId="5035"/>
    <tableColumn id="7" name="7" dataDxfId="5034"/>
    <tableColumn id="8" name="8" dataDxfId="5033"/>
    <tableColumn id="9" name="9" dataDxfId="5032"/>
    <tableColumn id="10" name="10" dataDxfId="5031"/>
    <tableColumn id="11" name="11" dataDxfId="5030"/>
    <tableColumn id="12" name="12" dataDxfId="5029"/>
    <tableColumn id="13" name="13" dataDxfId="5028"/>
    <tableColumn id="14" name="14" dataDxfId="5027"/>
    <tableColumn id="15" name="15" dataDxfId="5026"/>
    <tableColumn id="16" name="16" dataDxfId="5025"/>
    <tableColumn id="17" name="17" dataDxfId="5024"/>
    <tableColumn id="18" name="18" dataDxfId="5023"/>
    <tableColumn id="19" name="19" dataDxfId="5022"/>
    <tableColumn id="20" name="20" dataDxfId="5021"/>
    <tableColumn id="21" name="21" dataDxfId="5020"/>
    <tableColumn id="22" name="22" dataDxfId="5019"/>
    <tableColumn id="23" name="23" dataDxfId="5018"/>
    <tableColumn id="24" name="24" dataDxfId="5017"/>
    <tableColumn id="25" name="25" dataDxfId="5016"/>
    <tableColumn id="26" name="26" dataDxfId="5015"/>
    <tableColumn id="27" name="27" dataDxfId="5014"/>
    <tableColumn id="28" name="28" dataDxfId="5013"/>
    <tableColumn id="29" name="29" dataDxfId="5012"/>
    <tableColumn id="30" name="30" dataDxfId="5011"/>
    <tableColumn id="31" name="31" dataDxfId="5010"/>
  </tableColumns>
  <tableStyleInfo name="TableStyleMedium9" showFirstColumn="0" showLastColumn="0" showRowStripes="1" showColumnStripes="0"/>
</table>
</file>

<file path=xl/tables/table201.xml><?xml version="1.0" encoding="utf-8"?>
<table xmlns="http://schemas.openxmlformats.org/spreadsheetml/2006/main" id="175" name="Tabela1942176" displayName="Tabela1942176" ref="I97:AM107" totalsRowShown="0" headerRowDxfId="5009" dataDxfId="5007" headerRowBorderDxfId="5008">
  <autoFilter ref="I97:AM10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006"/>
    <tableColumn id="2" name="2" dataDxfId="5005"/>
    <tableColumn id="3" name="3" dataDxfId="5004"/>
    <tableColumn id="4" name="4" dataDxfId="5003"/>
    <tableColumn id="5" name="5" dataDxfId="5002"/>
    <tableColumn id="6" name="6" dataDxfId="5001"/>
    <tableColumn id="7" name="7" dataDxfId="5000"/>
    <tableColumn id="8" name="8" dataDxfId="4999"/>
    <tableColumn id="9" name="9" dataDxfId="4998"/>
    <tableColumn id="10" name="10" dataDxfId="4997"/>
    <tableColumn id="11" name="11" dataDxfId="4996"/>
    <tableColumn id="12" name="12" dataDxfId="4995"/>
    <tableColumn id="13" name="13" dataDxfId="4994"/>
    <tableColumn id="14" name="14" dataDxfId="4993"/>
    <tableColumn id="15" name="15" dataDxfId="4992"/>
    <tableColumn id="16" name="16" dataDxfId="4991"/>
    <tableColumn id="17" name="17" dataDxfId="4990"/>
    <tableColumn id="18" name="18" dataDxfId="4989"/>
    <tableColumn id="19" name="19" dataDxfId="4988"/>
    <tableColumn id="20" name="20" dataDxfId="4987"/>
    <tableColumn id="21" name="21" dataDxfId="4986"/>
    <tableColumn id="22" name="22" dataDxfId="4985"/>
    <tableColumn id="23" name="23" dataDxfId="4984"/>
    <tableColumn id="24" name="24" dataDxfId="4983"/>
    <tableColumn id="25" name="25" dataDxfId="4982"/>
    <tableColumn id="26" name="26" dataDxfId="4981"/>
    <tableColumn id="27" name="27" dataDxfId="4980"/>
    <tableColumn id="28" name="28" dataDxfId="4979"/>
    <tableColumn id="29" name="29" dataDxfId="4978"/>
    <tableColumn id="30" name="30" dataDxfId="4977"/>
    <tableColumn id="31" name="31" dataDxfId="4976"/>
  </tableColumns>
  <tableStyleInfo name="TableStyleMedium9" showFirstColumn="0" showLastColumn="0" showRowStripes="1" showColumnStripes="0"/>
</table>
</file>

<file path=xl/tables/table202.xml><?xml version="1.0" encoding="utf-8"?>
<table xmlns="http://schemas.openxmlformats.org/spreadsheetml/2006/main" id="176" name="Tabela192143177" displayName="Tabela192143177" ref="I109:AM119" totalsRowShown="0" headerRowDxfId="4975" dataDxfId="4973" headerRowBorderDxfId="4974">
  <autoFilter ref="I109:AM1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972"/>
    <tableColumn id="2" name="2" dataDxfId="4971"/>
    <tableColumn id="3" name="3" dataDxfId="4970"/>
    <tableColumn id="4" name="4" dataDxfId="4969"/>
    <tableColumn id="5" name="5" dataDxfId="4968"/>
    <tableColumn id="6" name="6" dataDxfId="4967"/>
    <tableColumn id="7" name="7" dataDxfId="4966"/>
    <tableColumn id="8" name="8" dataDxfId="4965"/>
    <tableColumn id="9" name="9" dataDxfId="4964"/>
    <tableColumn id="10" name="10" dataDxfId="4963"/>
    <tableColumn id="11" name="11" dataDxfId="4962"/>
    <tableColumn id="12" name="12" dataDxfId="4961"/>
    <tableColumn id="13" name="13" dataDxfId="4960"/>
    <tableColumn id="14" name="14" dataDxfId="4959"/>
    <tableColumn id="15" name="15" dataDxfId="4958"/>
    <tableColumn id="16" name="16" dataDxfId="4957"/>
    <tableColumn id="17" name="17" dataDxfId="4956"/>
    <tableColumn id="18" name="18" dataDxfId="4955"/>
    <tableColumn id="19" name="19" dataDxfId="4954"/>
    <tableColumn id="20" name="20" dataDxfId="4953"/>
    <tableColumn id="21" name="21" dataDxfId="4952"/>
    <tableColumn id="22" name="22" dataDxfId="4951"/>
    <tableColumn id="23" name="23" dataDxfId="4950"/>
    <tableColumn id="24" name="24" dataDxfId="4949"/>
    <tableColumn id="25" name="25" dataDxfId="4948"/>
    <tableColumn id="26" name="26" dataDxfId="4947"/>
    <tableColumn id="27" name="27" dataDxfId="4946"/>
    <tableColumn id="28" name="28" dataDxfId="4945"/>
    <tableColumn id="29" name="29" dataDxfId="4944"/>
    <tableColumn id="30" name="30" dataDxfId="4943"/>
    <tableColumn id="31" name="31" dataDxfId="4942"/>
  </tableColumns>
  <tableStyleInfo name="TableStyleMedium9" showFirstColumn="0" showLastColumn="0" showRowStripes="1" showColumnStripes="0"/>
</table>
</file>

<file path=xl/tables/table203.xml><?xml version="1.0" encoding="utf-8"?>
<table xmlns="http://schemas.openxmlformats.org/spreadsheetml/2006/main" id="177" name="Tabela192244178" displayName="Tabela192244178" ref="I145:AM155" totalsRowShown="0" headerRowDxfId="4941" dataDxfId="4939" headerRowBorderDxfId="4940">
  <autoFilter ref="I145:AM1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938"/>
    <tableColumn id="2" name="2" dataDxfId="4937"/>
    <tableColumn id="3" name="3" dataDxfId="4936"/>
    <tableColumn id="4" name="4" dataDxfId="4935"/>
    <tableColumn id="5" name="5" dataDxfId="4934"/>
    <tableColumn id="6" name="6" dataDxfId="4933"/>
    <tableColumn id="7" name="7" dataDxfId="4932"/>
    <tableColumn id="8" name="8" dataDxfId="4931"/>
    <tableColumn id="9" name="9" dataDxfId="4930"/>
    <tableColumn id="10" name="10" dataDxfId="4929"/>
    <tableColumn id="11" name="11" dataDxfId="4928"/>
    <tableColumn id="12" name="12" dataDxfId="4927"/>
    <tableColumn id="13" name="13" dataDxfId="4926"/>
    <tableColumn id="14" name="14" dataDxfId="4925"/>
    <tableColumn id="15" name="15" dataDxfId="4924"/>
    <tableColumn id="16" name="16" dataDxfId="4923"/>
    <tableColumn id="17" name="17" dataDxfId="4922"/>
    <tableColumn id="18" name="18" dataDxfId="4921"/>
    <tableColumn id="19" name="19" dataDxfId="4920"/>
    <tableColumn id="20" name="20" dataDxfId="4919"/>
    <tableColumn id="21" name="21" dataDxfId="4918"/>
    <tableColumn id="22" name="22" dataDxfId="4917"/>
    <tableColumn id="23" name="23" dataDxfId="4916"/>
    <tableColumn id="24" name="24" dataDxfId="4915"/>
    <tableColumn id="25" name="25" dataDxfId="4914"/>
    <tableColumn id="26" name="26" dataDxfId="4913"/>
    <tableColumn id="27" name="27" dataDxfId="4912"/>
    <tableColumn id="28" name="28" dataDxfId="4911"/>
    <tableColumn id="29" name="29" dataDxfId="4910"/>
    <tableColumn id="30" name="30" dataDxfId="4909"/>
    <tableColumn id="31" name="31" dataDxfId="4908"/>
  </tableColumns>
  <tableStyleInfo name="TableStyleMedium9" showFirstColumn="0" showLastColumn="0" showRowStripes="1" showColumnStripes="0"/>
</table>
</file>

<file path=xl/tables/table204.xml><?xml version="1.0" encoding="utf-8"?>
<table xmlns="http://schemas.openxmlformats.org/spreadsheetml/2006/main" id="178" name="Tabela192345179" displayName="Tabela192345179" ref="I205:AM215" totalsRowShown="0" headerRowDxfId="4907" dataDxfId="4905" headerRowBorderDxfId="4906">
  <autoFilter ref="I205:AM2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904"/>
    <tableColumn id="2" name="2" dataDxfId="4903"/>
    <tableColumn id="3" name="3" dataDxfId="4902"/>
    <tableColumn id="4" name="4" dataDxfId="4901"/>
    <tableColumn id="5" name="5" dataDxfId="4900"/>
    <tableColumn id="6" name="6" dataDxfId="4899"/>
    <tableColumn id="7" name="7" dataDxfId="4898"/>
    <tableColumn id="8" name="8" dataDxfId="4897"/>
    <tableColumn id="9" name="9" dataDxfId="4896"/>
    <tableColumn id="10" name="10" dataDxfId="4895"/>
    <tableColumn id="11" name="11" dataDxfId="4894"/>
    <tableColumn id="12" name="12" dataDxfId="4893"/>
    <tableColumn id="13" name="13" dataDxfId="4892"/>
    <tableColumn id="14" name="14" dataDxfId="4891"/>
    <tableColumn id="15" name="15" dataDxfId="4890"/>
    <tableColumn id="16" name="16" dataDxfId="4889"/>
    <tableColumn id="17" name="17" dataDxfId="4888"/>
    <tableColumn id="18" name="18" dataDxfId="4887"/>
    <tableColumn id="19" name="19" dataDxfId="4886"/>
    <tableColumn id="20" name="20" dataDxfId="4885"/>
    <tableColumn id="21" name="21" dataDxfId="4884"/>
    <tableColumn id="22" name="22" dataDxfId="4883"/>
    <tableColumn id="23" name="23" dataDxfId="4882"/>
    <tableColumn id="24" name="24" dataDxfId="4881"/>
    <tableColumn id="25" name="25" dataDxfId="4880"/>
    <tableColumn id="26" name="26" dataDxfId="4879"/>
    <tableColumn id="27" name="27" dataDxfId="4878"/>
    <tableColumn id="28" name="28" dataDxfId="4877"/>
    <tableColumn id="29" name="29" dataDxfId="4876"/>
    <tableColumn id="30" name="30" dataDxfId="4875"/>
    <tableColumn id="31" name="31" dataDxfId="4874"/>
  </tableColumns>
  <tableStyleInfo name="TableStyleMedium9" showFirstColumn="0" showLastColumn="0" showRowStripes="1" showColumnStripes="0"/>
</table>
</file>

<file path=xl/tables/table205.xml><?xml version="1.0" encoding="utf-8"?>
<table xmlns="http://schemas.openxmlformats.org/spreadsheetml/2006/main" id="179" name="Tabela19212446180" displayName="Tabela19212446180" ref="I133:AM143" totalsRowShown="0" headerRowDxfId="4873" dataDxfId="4871" headerRowBorderDxfId="4872">
  <autoFilter ref="I133:AM1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870"/>
    <tableColumn id="2" name="2" dataDxfId="4869"/>
    <tableColumn id="3" name="3" dataDxfId="4868"/>
    <tableColumn id="4" name="4" dataDxfId="4867"/>
    <tableColumn id="5" name="5" dataDxfId="4866"/>
    <tableColumn id="6" name="6" dataDxfId="4865"/>
    <tableColumn id="7" name="7" dataDxfId="4864"/>
    <tableColumn id="8" name="8" dataDxfId="4863"/>
    <tableColumn id="9" name="9" dataDxfId="4862"/>
    <tableColumn id="10" name="10" dataDxfId="4861"/>
    <tableColumn id="11" name="11" dataDxfId="4860"/>
    <tableColumn id="12" name="12" dataDxfId="4859"/>
    <tableColumn id="13" name="13" dataDxfId="4858"/>
    <tableColumn id="14" name="14" dataDxfId="4857"/>
    <tableColumn id="15" name="15" dataDxfId="4856"/>
    <tableColumn id="16" name="16" dataDxfId="4855"/>
    <tableColumn id="17" name="17" dataDxfId="4854"/>
    <tableColumn id="18" name="18" dataDxfId="4853"/>
    <tableColumn id="19" name="19" dataDxfId="4852"/>
    <tableColumn id="20" name="20" dataDxfId="4851"/>
    <tableColumn id="21" name="21" dataDxfId="4850"/>
    <tableColumn id="22" name="22" dataDxfId="4849"/>
    <tableColumn id="23" name="23" dataDxfId="4848"/>
    <tableColumn id="24" name="24" dataDxfId="4847"/>
    <tableColumn id="25" name="25" dataDxfId="4846"/>
    <tableColumn id="26" name="26" dataDxfId="4845"/>
    <tableColumn id="27" name="27" dataDxfId="4844"/>
    <tableColumn id="28" name="28" dataDxfId="4843"/>
    <tableColumn id="29" name="29" dataDxfId="4842"/>
    <tableColumn id="30" name="30" dataDxfId="4841"/>
    <tableColumn id="31" name="31" dataDxfId="4840"/>
  </tableColumns>
  <tableStyleInfo name="TableStyleMedium9" showFirstColumn="0" showLastColumn="0" showRowStripes="1" showColumnStripes="0"/>
</table>
</file>

<file path=xl/tables/table206.xml><?xml version="1.0" encoding="utf-8"?>
<table xmlns="http://schemas.openxmlformats.org/spreadsheetml/2006/main" id="180" name="Tabela19212547181" displayName="Tabela19212547181" ref="I121:AM131" totalsRowShown="0" headerRowDxfId="4839" dataDxfId="4837" headerRowBorderDxfId="4838">
  <autoFilter ref="I121:AM1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836"/>
    <tableColumn id="2" name="2" dataDxfId="4835"/>
    <tableColumn id="3" name="3" dataDxfId="4834"/>
    <tableColumn id="4" name="4" dataDxfId="4833"/>
    <tableColumn id="5" name="5" dataDxfId="4832"/>
    <tableColumn id="6" name="6" dataDxfId="4831"/>
    <tableColumn id="7" name="7" dataDxfId="4830"/>
    <tableColumn id="8" name="8" dataDxfId="4829"/>
    <tableColumn id="9" name="9" dataDxfId="4828"/>
    <tableColumn id="10" name="10" dataDxfId="4827"/>
    <tableColumn id="11" name="11" dataDxfId="4826"/>
    <tableColumn id="12" name="12" dataDxfId="4825"/>
    <tableColumn id="13" name="13" dataDxfId="4824"/>
    <tableColumn id="14" name="14" dataDxfId="4823"/>
    <tableColumn id="15" name="15" dataDxfId="4822"/>
    <tableColumn id="16" name="16" dataDxfId="4821"/>
    <tableColumn id="17" name="17" dataDxfId="4820"/>
    <tableColumn id="18" name="18" dataDxfId="4819"/>
    <tableColumn id="19" name="19" dataDxfId="4818"/>
    <tableColumn id="20" name="20" dataDxfId="4817"/>
    <tableColumn id="21" name="21" dataDxfId="4816"/>
    <tableColumn id="22" name="22" dataDxfId="4815"/>
    <tableColumn id="23" name="23" dataDxfId="4814"/>
    <tableColumn id="24" name="24" dataDxfId="4813"/>
    <tableColumn id="25" name="25" dataDxfId="4812"/>
    <tableColumn id="26" name="26" dataDxfId="4811"/>
    <tableColumn id="27" name="27" dataDxfId="4810"/>
    <tableColumn id="28" name="28" dataDxfId="4809"/>
    <tableColumn id="29" name="29" dataDxfId="4808"/>
    <tableColumn id="30" name="30" dataDxfId="4807"/>
    <tableColumn id="31" name="31" dataDxfId="4806"/>
  </tableColumns>
  <tableStyleInfo name="TableStyleMedium9" showFirstColumn="0" showLastColumn="0" showRowStripes="1" showColumnStripes="0"/>
</table>
</file>

<file path=xl/tables/table207.xml><?xml version="1.0" encoding="utf-8"?>
<table xmlns="http://schemas.openxmlformats.org/spreadsheetml/2006/main" id="181" name="Tabela2548182" displayName="Tabela2548182" ref="I157:AM167" totalsRowShown="0" headerRowDxfId="4805" dataDxfId="4804">
  <autoFilter ref="I157:AM1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803"/>
    <tableColumn id="2" name="2" dataDxfId="4802"/>
    <tableColumn id="3" name="3" dataDxfId="4801"/>
    <tableColumn id="4" name="4" dataDxfId="4800"/>
    <tableColumn id="5" name="5" dataDxfId="4799"/>
    <tableColumn id="6" name="6" dataDxfId="4798"/>
    <tableColumn id="7" name="7" dataDxfId="4797"/>
    <tableColumn id="8" name="8" dataDxfId="4796"/>
    <tableColumn id="9" name="9" dataDxfId="4795"/>
    <tableColumn id="10" name="10" dataDxfId="4794"/>
    <tableColumn id="11" name="11" dataDxfId="4793"/>
    <tableColumn id="12" name="12" dataDxfId="4792"/>
    <tableColumn id="13" name="13" dataDxfId="4791"/>
    <tableColumn id="14" name="14" dataDxfId="4790"/>
    <tableColumn id="15" name="15" dataDxfId="4789"/>
    <tableColumn id="16" name="16" dataDxfId="4788"/>
    <tableColumn id="17" name="17" dataDxfId="4787"/>
    <tableColumn id="18" name="18" dataDxfId="4786"/>
    <tableColumn id="19" name="19" dataDxfId="4785"/>
    <tableColumn id="20" name="20" dataDxfId="4784"/>
    <tableColumn id="21" name="21" dataDxfId="4783"/>
    <tableColumn id="22" name="22" dataDxfId="4782"/>
    <tableColumn id="23" name="23" dataDxfId="4781"/>
    <tableColumn id="24" name="24" dataDxfId="4780"/>
    <tableColumn id="25" name="25" dataDxfId="4779"/>
    <tableColumn id="26" name="26" dataDxfId="4778"/>
    <tableColumn id="27" name="27" dataDxfId="4777"/>
    <tableColumn id="28" name="28" dataDxfId="4776"/>
    <tableColumn id="29" name="29" dataDxfId="4775"/>
    <tableColumn id="30" name="30" dataDxfId="4774"/>
    <tableColumn id="31" name="31" dataDxfId="4773"/>
  </tableColumns>
  <tableStyleInfo name="TableStyleMedium9" showFirstColumn="0" showLastColumn="0" showRowStripes="1" showColumnStripes="0"/>
</table>
</file>

<file path=xl/tables/table208.xml><?xml version="1.0" encoding="utf-8"?>
<table xmlns="http://schemas.openxmlformats.org/spreadsheetml/2006/main" id="182" name="Tabela2649183" displayName="Tabela2649183" ref="I169:AM179" totalsRowShown="0" headerRowDxfId="4772" headerRowBorderDxfId="4771">
  <autoFilter ref="I169:AM1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770"/>
    <tableColumn id="2" name="2" dataDxfId="4769"/>
    <tableColumn id="3" name="3" dataDxfId="4768"/>
    <tableColumn id="4" name="4" dataDxfId="4767"/>
    <tableColumn id="5" name="5" dataDxfId="4766"/>
    <tableColumn id="6" name="6" dataDxfId="4765"/>
    <tableColumn id="7" name="7" dataDxfId="4764"/>
    <tableColumn id="8" name="8" dataDxfId="4763"/>
    <tableColumn id="9" name="9" dataDxfId="4762"/>
    <tableColumn id="10" name="10" dataDxfId="4761"/>
    <tableColumn id="11" name="11" dataDxfId="4760"/>
    <tableColumn id="12" name="12" dataDxfId="4759"/>
    <tableColumn id="13" name="13" dataDxfId="4758"/>
    <tableColumn id="14" name="14" dataDxfId="4757"/>
    <tableColumn id="15" name="15" dataDxfId="4756"/>
    <tableColumn id="16" name="16" dataDxfId="4755"/>
    <tableColumn id="17" name="17" dataDxfId="4754"/>
    <tableColumn id="18" name="18" dataDxfId="4753"/>
    <tableColumn id="19" name="19" dataDxfId="4752"/>
    <tableColumn id="20" name="20" dataDxfId="4751"/>
    <tableColumn id="21" name="21" dataDxfId="4750"/>
    <tableColumn id="22" name="22" dataDxfId="4749"/>
    <tableColumn id="23" name="23" dataDxfId="4748"/>
    <tableColumn id="24" name="24" dataDxfId="4747"/>
    <tableColumn id="25" name="25" dataDxfId="4746"/>
    <tableColumn id="26" name="26" dataDxfId="4745"/>
    <tableColumn id="27" name="27" dataDxfId="4744"/>
    <tableColumn id="28" name="28" dataDxfId="4743"/>
    <tableColumn id="29" name="29" dataDxfId="4742"/>
    <tableColumn id="30" name="30" dataDxfId="4741"/>
    <tableColumn id="31" name="31" dataDxfId="4740"/>
  </tableColumns>
  <tableStyleInfo name="TableStyleMedium9" showFirstColumn="0" showLastColumn="0" showRowStripes="1" showColumnStripes="0"/>
</table>
</file>

<file path=xl/tables/table209.xml><?xml version="1.0" encoding="utf-8"?>
<table xmlns="http://schemas.openxmlformats.org/spreadsheetml/2006/main" id="183" name="Tabela2750184" displayName="Tabela2750184" ref="I181:AM191" totalsRowShown="0" headerRowDxfId="4739">
  <autoFilter ref="I181:AM19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738"/>
    <tableColumn id="2" name="2" dataDxfId="4737"/>
    <tableColumn id="3" name="3" dataDxfId="4736"/>
    <tableColumn id="4" name="4" dataDxfId="4735"/>
    <tableColumn id="5" name="5" dataDxfId="4734"/>
    <tableColumn id="6" name="6" dataDxfId="4733"/>
    <tableColumn id="7" name="7" dataDxfId="4732"/>
    <tableColumn id="8" name="8" dataDxfId="4731"/>
    <tableColumn id="9" name="9" dataDxfId="4730"/>
    <tableColumn id="10" name="10" dataDxfId="4729"/>
    <tableColumn id="11" name="11" dataDxfId="4728"/>
    <tableColumn id="12" name="12" dataDxfId="4727"/>
    <tableColumn id="13" name="13" dataDxfId="4726"/>
    <tableColumn id="14" name="14" dataDxfId="4725"/>
    <tableColumn id="15" name="15" dataDxfId="4724"/>
    <tableColumn id="16" name="16" dataDxfId="4723"/>
    <tableColumn id="17" name="17" dataDxfId="4722"/>
    <tableColumn id="18" name="18" dataDxfId="4721"/>
    <tableColumn id="19" name="19" dataDxfId="4720"/>
    <tableColumn id="20" name="20" dataDxfId="4719"/>
    <tableColumn id="21" name="21" dataDxfId="4718"/>
    <tableColumn id="22" name="22" dataDxfId="4717"/>
    <tableColumn id="23" name="23" dataDxfId="4716"/>
    <tableColumn id="24" name="24" dataDxfId="4715"/>
    <tableColumn id="25" name="25" dataDxfId="4714"/>
    <tableColumn id="26" name="26" dataDxfId="4713"/>
    <tableColumn id="27" name="27" dataDxfId="4712"/>
    <tableColumn id="28" name="28" dataDxfId="4711"/>
    <tableColumn id="29" name="29" dataDxfId="4710"/>
    <tableColumn id="30" name="30" dataDxfId="4709"/>
    <tableColumn id="31" name="31" dataDxfId="4708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4" name="Tabela192125" displayName="Tabela192125" ref="I98:AM102" totalsRowShown="0" headerRowDxfId="8070" dataDxfId="8068" headerRowBorderDxfId="8069">
  <autoFilter ref="I98:AM10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8067"/>
    <tableColumn id="2" name="2" dataDxfId="8066"/>
    <tableColumn id="3" name="3" dataDxfId="8065"/>
    <tableColumn id="4" name="4" dataDxfId="8064"/>
    <tableColumn id="5" name="5" dataDxfId="8063"/>
    <tableColumn id="6" name="6" dataDxfId="8062"/>
    <tableColumn id="7" name="7" dataDxfId="8061"/>
    <tableColumn id="8" name="8" dataDxfId="8060"/>
    <tableColumn id="9" name="9" dataDxfId="8059"/>
    <tableColumn id="10" name="10" dataDxfId="8058"/>
    <tableColumn id="11" name="11" dataDxfId="8057"/>
    <tableColumn id="12" name="12" dataDxfId="8056"/>
    <tableColumn id="13" name="13" dataDxfId="8055"/>
    <tableColumn id="14" name="14" dataDxfId="8054"/>
    <tableColumn id="15" name="15" dataDxfId="8053"/>
    <tableColumn id="16" name="16" dataDxfId="8052"/>
    <tableColumn id="17" name="17" dataDxfId="8051"/>
    <tableColumn id="18" name="18" dataDxfId="8050"/>
    <tableColumn id="19" name="19" dataDxfId="8049"/>
    <tableColumn id="20" name="20" dataDxfId="8048"/>
    <tableColumn id="21" name="21" dataDxfId="8047"/>
    <tableColumn id="22" name="22" dataDxfId="8046"/>
    <tableColumn id="23" name="23" dataDxfId="8045"/>
    <tableColumn id="24" name="24" dataDxfId="8044"/>
    <tableColumn id="25" name="25" dataDxfId="8043"/>
    <tableColumn id="26" name="26" dataDxfId="8042"/>
    <tableColumn id="27" name="27" dataDxfId="8041"/>
    <tableColumn id="28" name="28" dataDxfId="8040"/>
    <tableColumn id="29" name="29" dataDxfId="8039"/>
    <tableColumn id="30" name="30" dataDxfId="8038"/>
    <tableColumn id="31" name="31" dataDxfId="8037"/>
  </tableColumns>
  <tableStyleInfo name="TableStyleMedium9" showFirstColumn="0" showLastColumn="0" showRowStripes="1" showColumnStripes="0"/>
</table>
</file>

<file path=xl/tables/table210.xml><?xml version="1.0" encoding="utf-8"?>
<table xmlns="http://schemas.openxmlformats.org/spreadsheetml/2006/main" id="184" name="Tabela2851185" displayName="Tabela2851185" ref="I193:AM203" totalsRowShown="0" headerRowDxfId="4707" dataDxfId="4705" headerRowBorderDxfId="4706">
  <autoFilter ref="I193:AM20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704"/>
    <tableColumn id="2" name="2" dataDxfId="4703"/>
    <tableColumn id="3" name="3" dataDxfId="4702"/>
    <tableColumn id="4" name="4" dataDxfId="4701"/>
    <tableColumn id="5" name="5" dataDxfId="4700"/>
    <tableColumn id="6" name="6" dataDxfId="4699"/>
    <tableColumn id="7" name="7" dataDxfId="4698"/>
    <tableColumn id="8" name="8" dataDxfId="4697"/>
    <tableColumn id="9" name="9" dataDxfId="4696"/>
    <tableColumn id="10" name="10" dataDxfId="4695"/>
    <tableColumn id="11" name="11" dataDxfId="4694"/>
    <tableColumn id="12" name="12" dataDxfId="4693"/>
    <tableColumn id="13" name="13" dataDxfId="4692"/>
    <tableColumn id="14" name="14" dataDxfId="4691"/>
    <tableColumn id="15" name="15" dataDxfId="4690"/>
    <tableColumn id="16" name="16" dataDxfId="4689"/>
    <tableColumn id="17" name="17" dataDxfId="4688"/>
    <tableColumn id="18" name="18" dataDxfId="4687"/>
    <tableColumn id="19" name="19" dataDxfId="4686"/>
    <tableColumn id="20" name="20" dataDxfId="4685"/>
    <tableColumn id="21" name="21" dataDxfId="4684"/>
    <tableColumn id="22" name="22" dataDxfId="4683"/>
    <tableColumn id="23" name="23" dataDxfId="4682"/>
    <tableColumn id="24" name="24" dataDxfId="4681"/>
    <tableColumn id="25" name="25" dataDxfId="4680"/>
    <tableColumn id="26" name="26" dataDxfId="4679"/>
    <tableColumn id="27" name="27" dataDxfId="4678"/>
    <tableColumn id="28" name="28" dataDxfId="4677"/>
    <tableColumn id="29" name="29" dataDxfId="4676"/>
    <tableColumn id="30" name="30" dataDxfId="4675"/>
    <tableColumn id="31" name="31" dataDxfId="4674"/>
  </tableColumns>
  <tableStyleInfo name="TableStyleMedium9" showFirstColumn="0" showLastColumn="0" showRowStripes="1" showColumnStripes="0"/>
</table>
</file>

<file path=xl/tables/table211.xml><?xml version="1.0" encoding="utf-8"?>
<table xmlns="http://schemas.openxmlformats.org/spreadsheetml/2006/main" id="185" name="Tabela164058186" displayName="Tabela164058186" ref="B218:G227" headerRowCount="0" totalsRowShown="0">
  <tableColumns count="6">
    <tableColumn id="1" name="Kolumna1" dataDxfId="4673">
      <calculatedColumnFormula>'Wzorzec kategorii'!B180</calculatedColumnFormula>
    </tableColumn>
    <tableColumn id="2" name="Kolumna2" dataDxfId="4672"/>
    <tableColumn id="3" name="Kolumna3" dataDxfId="4671">
      <calculatedColumnFormula>SUM(Tabela19234559187[#This Row])</calculatedColumnFormula>
    </tableColumn>
    <tableColumn id="4" name="Kolumna4" dataDxfId="4670">
      <calculatedColumnFormula>C218-D218</calculatedColumnFormula>
    </tableColumn>
    <tableColumn id="5" name="Kolumna5" dataDxfId="4669">
      <calculatedColumnFormula>IFERROR(D218/C218,"")</calculatedColumnFormula>
    </tableColumn>
    <tableColumn id="6" name="Kolumna6" dataDxfId="4668"/>
  </tableColumns>
  <tableStyleInfo name="TableStyleLight9" showFirstColumn="0" showLastColumn="0" showRowStripes="1" showColumnStripes="0"/>
</table>
</file>

<file path=xl/tables/table212.xml><?xml version="1.0" encoding="utf-8"?>
<table xmlns="http://schemas.openxmlformats.org/spreadsheetml/2006/main" id="186" name="Tabela19234559187" displayName="Tabela19234559187" ref="I217:AM227" totalsRowShown="0" headerRowDxfId="4667" dataDxfId="4665" headerRowBorderDxfId="4666">
  <autoFilter ref="I217:AM2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664"/>
    <tableColumn id="2" name="2" dataDxfId="4663"/>
    <tableColumn id="3" name="3" dataDxfId="4662"/>
    <tableColumn id="4" name="4" dataDxfId="4661"/>
    <tableColumn id="5" name="5" dataDxfId="4660"/>
    <tableColumn id="6" name="6" dataDxfId="4659"/>
    <tableColumn id="7" name="7" dataDxfId="4658"/>
    <tableColumn id="8" name="8" dataDxfId="4657"/>
    <tableColumn id="9" name="9" dataDxfId="4656"/>
    <tableColumn id="10" name="10" dataDxfId="4655"/>
    <tableColumn id="11" name="11" dataDxfId="4654"/>
    <tableColumn id="12" name="12" dataDxfId="4653"/>
    <tableColumn id="13" name="13" dataDxfId="4652"/>
    <tableColumn id="14" name="14" dataDxfId="4651"/>
    <tableColumn id="15" name="15" dataDxfId="4650"/>
    <tableColumn id="16" name="16" dataDxfId="4649"/>
    <tableColumn id="17" name="17" dataDxfId="4648"/>
    <tableColumn id="18" name="18" dataDxfId="4647"/>
    <tableColumn id="19" name="19" dataDxfId="4646"/>
    <tableColumn id="20" name="20" dataDxfId="4645"/>
    <tableColumn id="21" name="21" dataDxfId="4644"/>
    <tableColumn id="22" name="22" dataDxfId="4643"/>
    <tableColumn id="23" name="23" dataDxfId="4642"/>
    <tableColumn id="24" name="24" dataDxfId="4641"/>
    <tableColumn id="25" name="25" dataDxfId="4640"/>
    <tableColumn id="26" name="26" dataDxfId="4639"/>
    <tableColumn id="27" name="27" dataDxfId="4638"/>
    <tableColumn id="28" name="28" dataDxfId="4637"/>
    <tableColumn id="29" name="29" dataDxfId="4636"/>
    <tableColumn id="30" name="30" dataDxfId="4635"/>
    <tableColumn id="31" name="31" dataDxfId="4634"/>
  </tableColumns>
  <tableStyleInfo name="TableStyleMedium9" showFirstColumn="0" showLastColumn="0" showRowStripes="1" showColumnStripes="0"/>
</table>
</file>

<file path=xl/tables/table213.xml><?xml version="1.0" encoding="utf-8"?>
<table xmlns="http://schemas.openxmlformats.org/spreadsheetml/2006/main" id="187" name="Tabela16405860188" displayName="Tabela16405860188" ref="B230:G239" headerRowCount="0" totalsRowShown="0">
  <tableColumns count="6">
    <tableColumn id="1" name="Kolumna1" dataDxfId="4633">
      <calculatedColumnFormula>'Wzorzec kategorii'!B192</calculatedColumnFormula>
    </tableColumn>
    <tableColumn id="2" name="Kolumna2" dataDxfId="4632"/>
    <tableColumn id="3" name="Kolumna3" dataDxfId="4631">
      <calculatedColumnFormula>SUM(Tabela1923455962190[#This Row])</calculatedColumnFormula>
    </tableColumn>
    <tableColumn id="4" name="Kolumna4" dataDxfId="4630">
      <calculatedColumnFormula>C230-D230</calculatedColumnFormula>
    </tableColumn>
    <tableColumn id="5" name="Kolumna5" dataDxfId="4629">
      <calculatedColumnFormula>IFERROR(D230/C230,"")</calculatedColumnFormula>
    </tableColumn>
    <tableColumn id="6" name="Kolumna6" dataDxfId="4628"/>
  </tableColumns>
  <tableStyleInfo name="TableStyleLight9" showFirstColumn="0" showLastColumn="0" showRowStripes="1" showColumnStripes="0"/>
</table>
</file>

<file path=xl/tables/table214.xml><?xml version="1.0" encoding="utf-8"?>
<table xmlns="http://schemas.openxmlformats.org/spreadsheetml/2006/main" id="188" name="Tabela1640586061189" displayName="Tabela1640586061189" ref="B242:G251" headerRowCount="0" totalsRowShown="0">
  <tableColumns count="6">
    <tableColumn id="1" name="Kolumna1" dataDxfId="4627">
      <calculatedColumnFormula>'Wzorzec kategorii'!B204</calculatedColumnFormula>
    </tableColumn>
    <tableColumn id="2" name="Kolumna2" dataDxfId="4626"/>
    <tableColumn id="3" name="Kolumna3" dataDxfId="4625">
      <calculatedColumnFormula>SUM(Tabela1923455963191[#This Row])</calculatedColumnFormula>
    </tableColumn>
    <tableColumn id="4" name="Kolumna4" dataDxfId="4624">
      <calculatedColumnFormula>C242-D242</calculatedColumnFormula>
    </tableColumn>
    <tableColumn id="5" name="Kolumna5" dataDxfId="4623">
      <calculatedColumnFormula>IFERROR(D242/C242,"")</calculatedColumnFormula>
    </tableColumn>
    <tableColumn id="6" name="Kolumna6" dataDxfId="4622"/>
  </tableColumns>
  <tableStyleInfo name="TableStyleLight9" showFirstColumn="0" showLastColumn="0" showRowStripes="1" showColumnStripes="0"/>
</table>
</file>

<file path=xl/tables/table215.xml><?xml version="1.0" encoding="utf-8"?>
<table xmlns="http://schemas.openxmlformats.org/spreadsheetml/2006/main" id="189" name="Tabela1923455962190" displayName="Tabela1923455962190" ref="I229:AM239" totalsRowShown="0" headerRowDxfId="4621" dataDxfId="4619" headerRowBorderDxfId="4620">
  <autoFilter ref="I229:AM2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618"/>
    <tableColumn id="2" name="2" dataDxfId="4617"/>
    <tableColumn id="3" name="3" dataDxfId="4616"/>
    <tableColumn id="4" name="4" dataDxfId="4615"/>
    <tableColumn id="5" name="5" dataDxfId="4614"/>
    <tableColumn id="6" name="6" dataDxfId="4613"/>
    <tableColumn id="7" name="7" dataDxfId="4612"/>
    <tableColumn id="8" name="8" dataDxfId="4611"/>
    <tableColumn id="9" name="9" dataDxfId="4610"/>
    <tableColumn id="10" name="10" dataDxfId="4609"/>
    <tableColumn id="11" name="11" dataDxfId="4608"/>
    <tableColumn id="12" name="12" dataDxfId="4607"/>
    <tableColumn id="13" name="13" dataDxfId="4606"/>
    <tableColumn id="14" name="14" dataDxfId="4605"/>
    <tableColumn id="15" name="15" dataDxfId="4604"/>
    <tableColumn id="16" name="16" dataDxfId="4603"/>
    <tableColumn id="17" name="17" dataDxfId="4602"/>
    <tableColumn id="18" name="18" dataDxfId="4601"/>
    <tableColumn id="19" name="19" dataDxfId="4600"/>
    <tableColumn id="20" name="20" dataDxfId="4599"/>
    <tableColumn id="21" name="21" dataDxfId="4598"/>
    <tableColumn id="22" name="22" dataDxfId="4597"/>
    <tableColumn id="23" name="23" dataDxfId="4596"/>
    <tableColumn id="24" name="24" dataDxfId="4595"/>
    <tableColumn id="25" name="25" dataDxfId="4594"/>
    <tableColumn id="26" name="26" dataDxfId="4593"/>
    <tableColumn id="27" name="27" dataDxfId="4592"/>
    <tableColumn id="28" name="28" dataDxfId="4591"/>
    <tableColumn id="29" name="29" dataDxfId="4590"/>
    <tableColumn id="30" name="30" dataDxfId="4589"/>
    <tableColumn id="31" name="31" dataDxfId="4588"/>
  </tableColumns>
  <tableStyleInfo name="TableStyleMedium9" showFirstColumn="0" showLastColumn="0" showRowStripes="1" showColumnStripes="0"/>
</table>
</file>

<file path=xl/tables/table216.xml><?xml version="1.0" encoding="utf-8"?>
<table xmlns="http://schemas.openxmlformats.org/spreadsheetml/2006/main" id="190" name="Tabela1923455963191" displayName="Tabela1923455963191" ref="I241:AM251" totalsRowShown="0" headerRowDxfId="4587" dataDxfId="4585" headerRowBorderDxfId="4586">
  <autoFilter ref="I241:AM25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584"/>
    <tableColumn id="2" name="2" dataDxfId="4583"/>
    <tableColumn id="3" name="3" dataDxfId="4582"/>
    <tableColumn id="4" name="4" dataDxfId="4581"/>
    <tableColumn id="5" name="5" dataDxfId="4580"/>
    <tableColumn id="6" name="6" dataDxfId="4579"/>
    <tableColumn id="7" name="7" dataDxfId="4578"/>
    <tableColumn id="8" name="8" dataDxfId="4577"/>
    <tableColumn id="9" name="9" dataDxfId="4576"/>
    <tableColumn id="10" name="10" dataDxfId="4575"/>
    <tableColumn id="11" name="11" dataDxfId="4574"/>
    <tableColumn id="12" name="12" dataDxfId="4573"/>
    <tableColumn id="13" name="13" dataDxfId="4572"/>
    <tableColumn id="14" name="14" dataDxfId="4571"/>
    <tableColumn id="15" name="15" dataDxfId="4570"/>
    <tableColumn id="16" name="16" dataDxfId="4569"/>
    <tableColumn id="17" name="17" dataDxfId="4568"/>
    <tableColumn id="18" name="18" dataDxfId="4567"/>
    <tableColumn id="19" name="19" dataDxfId="4566"/>
    <tableColumn id="20" name="20" dataDxfId="4565"/>
    <tableColumn id="21" name="21" dataDxfId="4564"/>
    <tableColumn id="22" name="22" dataDxfId="4563"/>
    <tableColumn id="23" name="23" dataDxfId="4562"/>
    <tableColumn id="24" name="24" dataDxfId="4561"/>
    <tableColumn id="25" name="25" dataDxfId="4560"/>
    <tableColumn id="26" name="26" dataDxfId="4559"/>
    <tableColumn id="27" name="27" dataDxfId="4558"/>
    <tableColumn id="28" name="28" dataDxfId="4557"/>
    <tableColumn id="29" name="29" dataDxfId="4556"/>
    <tableColumn id="30" name="30" dataDxfId="4555"/>
    <tableColumn id="31" name="31" dataDxfId="4554"/>
  </tableColumns>
  <tableStyleInfo name="TableStyleMedium9" showFirstColumn="0" showLastColumn="0" showRowStripes="1" showColumnStripes="0"/>
</table>
</file>

<file path=xl/tables/table217.xml><?xml version="1.0" encoding="utf-8"?>
<table xmlns="http://schemas.openxmlformats.org/spreadsheetml/2006/main" id="191" name="Tabela33064192" displayName="Tabela33064192" ref="I51:AM66" totalsRowShown="0" headerRowDxfId="4553">
  <autoFilter ref="I51:AM6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552"/>
    <tableColumn id="2" name="2" dataDxfId="4551"/>
    <tableColumn id="3" name="3" dataDxfId="4550"/>
    <tableColumn id="4" name="4" dataDxfId="4549"/>
    <tableColumn id="5" name="5" dataDxfId="4548"/>
    <tableColumn id="6" name="6" dataDxfId="4547"/>
    <tableColumn id="7" name="7" dataDxfId="4546"/>
    <tableColumn id="8" name="8" dataDxfId="4545"/>
    <tableColumn id="9" name="9" dataDxfId="4544"/>
    <tableColumn id="10" name="10" dataDxfId="4543"/>
    <tableColumn id="11" name="11" dataDxfId="4542"/>
    <tableColumn id="12" name="12" dataDxfId="4541"/>
    <tableColumn id="13" name="13" dataDxfId="4540"/>
    <tableColumn id="14" name="14" dataDxfId="4539"/>
    <tableColumn id="15" name="15" dataDxfId="4538"/>
    <tableColumn id="16" name="16" dataDxfId="4537"/>
    <tableColumn id="17" name="17" dataDxfId="4536"/>
    <tableColumn id="18" name="18" dataDxfId="4535"/>
    <tableColumn id="19" name="19" dataDxfId="4534"/>
    <tableColumn id="20" name="20" dataDxfId="4533"/>
    <tableColumn id="21" name="21" dataDxfId="4532"/>
    <tableColumn id="22" name="22" dataDxfId="4531"/>
    <tableColumn id="23" name="23" dataDxfId="4530"/>
    <tableColumn id="24" name="24" dataDxfId="4529"/>
    <tableColumn id="25" name="25" dataDxfId="4528"/>
    <tableColumn id="26" name="26" dataDxfId="4527"/>
    <tableColumn id="27" name="27" dataDxfId="4526"/>
    <tableColumn id="28" name="28" dataDxfId="4525"/>
    <tableColumn id="29" name="29" dataDxfId="4524"/>
    <tableColumn id="30" name="30" dataDxfId="4523"/>
    <tableColumn id="31" name="31" dataDxfId="4522"/>
  </tableColumns>
  <tableStyleInfo name="TableStyleMedium9" showFirstColumn="0" showLastColumn="0" showRowStripes="1" showColumnStripes="0"/>
</table>
</file>

<file path=xl/tables/table218.xml><?xml version="1.0" encoding="utf-8"?>
<table xmlns="http://schemas.openxmlformats.org/spreadsheetml/2006/main" id="192" name="Jedzenie2193" displayName="Jedzenie2193" ref="B74:G83" headerRowCount="0" totalsRowShown="0" headerRowDxfId="4521" dataDxfId="4520">
  <tableColumns count="6">
    <tableColumn id="1" name="Kategoria" dataDxfId="4519">
      <calculatedColumnFormula>'Wzorzec kategorii'!B36</calculatedColumnFormula>
    </tableColumn>
    <tableColumn id="2" name="0" headerRowDxfId="4518" dataDxfId="4517"/>
    <tableColumn id="3" name="02" headerRowDxfId="4516" dataDxfId="4515">
      <calculatedColumnFormula>SUM(Tabela330196[#This Row])</calculatedColumnFormula>
    </tableColumn>
    <tableColumn id="4" name="Kolumna4" dataDxfId="4514">
      <calculatedColumnFormula>C74-D74</calculatedColumnFormula>
    </tableColumn>
    <tableColumn id="5" name="Kolumna1" dataDxfId="4513">
      <calculatedColumnFormula>IFERROR(D74/C74,"")</calculatedColumnFormula>
    </tableColumn>
    <tableColumn id="6" name="Kolumna2" dataDxfId="4512"/>
  </tableColumns>
  <tableStyleInfo name="TableStyleLight9" showFirstColumn="0" showLastColumn="0" showRowStripes="1" showColumnStripes="0"/>
</table>
</file>

<file path=xl/tables/table219.xml><?xml version="1.0" encoding="utf-8"?>
<table xmlns="http://schemas.openxmlformats.org/spreadsheetml/2006/main" id="193" name="Transport3194" displayName="Transport3194" ref="B98:G107" headerRowCount="0" totalsRowShown="0">
  <tableColumns count="6">
    <tableColumn id="1" name="Kolumna1" dataDxfId="4511">
      <calculatedColumnFormula>'Wzorzec kategorii'!B60</calculatedColumnFormula>
    </tableColumn>
    <tableColumn id="2" name="Kolumna2" dataDxfId="4510"/>
    <tableColumn id="3" name="Kolumna3" dataDxfId="4509">
      <calculatedColumnFormula>SUM(Tabela1942208[#This Row])</calculatedColumnFormula>
    </tableColumn>
    <tableColumn id="4" name="Kolumna4" dataDxfId="4508">
      <calculatedColumnFormula>C98-D98</calculatedColumnFormula>
    </tableColumn>
    <tableColumn id="5" name="Kolumna5" dataDxfId="4507">
      <calculatedColumnFormula>IFERROR(D98/C98,"")</calculatedColumnFormula>
    </tableColumn>
    <tableColumn id="6" name="Kolumna6" dataDxfId="4506"/>
  </tableColumns>
  <tableStyleInfo name="TableStyleLight9" showFirstColumn="0" showLastColumn="0" showRowStripes="1" showColumnStripes="0"/>
</table>
</file>

<file path=xl/tables/table22.xml><?xml version="1.0" encoding="utf-8"?>
<table xmlns="http://schemas.openxmlformats.org/spreadsheetml/2006/main" id="25" name="Tabela25" displayName="Tabela25" ref="I118:AM124" totalsRowShown="0" headerRowDxfId="8036" dataDxfId="8035">
  <autoFilter ref="I118:AM1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8034"/>
    <tableColumn id="2" name="2" dataDxfId="8033"/>
    <tableColumn id="3" name="3" dataDxfId="8032"/>
    <tableColumn id="4" name="4" dataDxfId="8031"/>
    <tableColumn id="5" name="5" dataDxfId="8030"/>
    <tableColumn id="6" name="6" dataDxfId="8029"/>
    <tableColumn id="7" name="7" dataDxfId="8028"/>
    <tableColumn id="8" name="8" dataDxfId="8027"/>
    <tableColumn id="9" name="9" dataDxfId="8026"/>
    <tableColumn id="10" name="10" dataDxfId="8025"/>
    <tableColumn id="11" name="11" dataDxfId="8024"/>
    <tableColumn id="12" name="12" dataDxfId="8023"/>
    <tableColumn id="13" name="13" dataDxfId="8022"/>
    <tableColumn id="14" name="14" dataDxfId="8021"/>
    <tableColumn id="15" name="15" dataDxfId="8020"/>
    <tableColumn id="16" name="16" dataDxfId="8019"/>
    <tableColumn id="17" name="17" dataDxfId="8018"/>
    <tableColumn id="18" name="18" dataDxfId="8017"/>
    <tableColumn id="19" name="19" dataDxfId="8016"/>
    <tableColumn id="20" name="20" dataDxfId="8015"/>
    <tableColumn id="21" name="21" dataDxfId="8014"/>
    <tableColumn id="22" name="22" dataDxfId="8013"/>
    <tableColumn id="23" name="23" dataDxfId="8012"/>
    <tableColumn id="24" name="24" dataDxfId="8011"/>
    <tableColumn id="25" name="25" dataDxfId="8010"/>
    <tableColumn id="26" name="26" dataDxfId="8009"/>
    <tableColumn id="27" name="27" dataDxfId="8008"/>
    <tableColumn id="28" name="28" dataDxfId="8007"/>
    <tableColumn id="29" name="29" dataDxfId="8006"/>
    <tableColumn id="30" name="30" dataDxfId="8005"/>
    <tableColumn id="31" name="31" dataDxfId="8004"/>
  </tableColumns>
  <tableStyleInfo name="TableStyleMedium9" showFirstColumn="0" showLastColumn="0" showRowStripes="1" showColumnStripes="0"/>
</table>
</file>

<file path=xl/tables/table220.xml><?xml version="1.0" encoding="utf-8"?>
<table xmlns="http://schemas.openxmlformats.org/spreadsheetml/2006/main" id="194" name="Tabela718195" displayName="Tabela718195" ref="B52:G66" headerRowCount="0" totalsRowShown="0" headerRowDxfId="4505" dataDxfId="4504">
  <tableColumns count="6">
    <tableColumn id="1" name="Kolumna1" dataDxfId="4503">
      <calculatedColumnFormula>'Wzorzec kategorii'!B15</calculatedColumnFormula>
    </tableColumn>
    <tableColumn id="2" name="Kolumna2" dataDxfId="4502"/>
    <tableColumn id="3" name="Kolumna3" dataDxfId="4501">
      <calculatedColumnFormula>SUM(Tabela33064224[#This Row])</calculatedColumnFormula>
    </tableColumn>
    <tableColumn id="4" name="Kolumna4" dataDxfId="4500">
      <calculatedColumnFormula>Tabela718195[[#This Row],[Kolumna3]]-Tabela718195[[#This Row],[Kolumna2]]</calculatedColumnFormula>
    </tableColumn>
    <tableColumn id="5" name="Kolumna5" dataDxfId="4499" dataCellStyle="Procentowy">
      <calculatedColumnFormula>IFERROR(D52/C52,"")</calculatedColumnFormula>
    </tableColumn>
    <tableColumn id="6" name="Kolumna6" dataDxfId="4498"/>
  </tableColumns>
  <tableStyleInfo name="TableStyleLight9" showFirstColumn="0" showLastColumn="0" showRowStripes="1" showColumnStripes="0"/>
</table>
</file>

<file path=xl/tables/table221.xml><?xml version="1.0" encoding="utf-8"?>
<table xmlns="http://schemas.openxmlformats.org/spreadsheetml/2006/main" id="195" name="Tabela330196" displayName="Tabela330196" ref="I73:AM83" totalsRowShown="0" headerRowDxfId="4497">
  <autoFilter ref="I73:AM8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496"/>
    <tableColumn id="2" name="2" dataDxfId="4495"/>
    <tableColumn id="3" name="3" dataDxfId="4494"/>
    <tableColumn id="4" name="4" dataDxfId="4493"/>
    <tableColumn id="5" name="5" dataDxfId="4492"/>
    <tableColumn id="6" name="6" dataDxfId="4491"/>
    <tableColumn id="7" name="7" dataDxfId="4490"/>
    <tableColumn id="8" name="8" dataDxfId="4489"/>
    <tableColumn id="9" name="9" dataDxfId="4488"/>
    <tableColumn id="10" name="10" dataDxfId="4487"/>
    <tableColumn id="11" name="11" dataDxfId="4486"/>
    <tableColumn id="12" name="12" dataDxfId="4485"/>
    <tableColumn id="13" name="13" dataDxfId="4484"/>
    <tableColumn id="14" name="14" dataDxfId="4483"/>
    <tableColumn id="15" name="15" dataDxfId="4482"/>
    <tableColumn id="16" name="16" dataDxfId="4481"/>
    <tableColumn id="17" name="17" dataDxfId="4480"/>
    <tableColumn id="18" name="18" dataDxfId="4479"/>
    <tableColumn id="19" name="19" dataDxfId="4478"/>
    <tableColumn id="20" name="20" dataDxfId="4477"/>
    <tableColumn id="21" name="21" dataDxfId="4476"/>
    <tableColumn id="22" name="22" dataDxfId="4475"/>
    <tableColumn id="23" name="23" dataDxfId="4474"/>
    <tableColumn id="24" name="24" dataDxfId="4473"/>
    <tableColumn id="25" name="25" dataDxfId="4472"/>
    <tableColumn id="26" name="26" dataDxfId="4471"/>
    <tableColumn id="27" name="27" dataDxfId="4470"/>
    <tableColumn id="28" name="28" dataDxfId="4469"/>
    <tableColumn id="29" name="29" dataDxfId="4468"/>
    <tableColumn id="30" name="30" dataDxfId="4467"/>
    <tableColumn id="31" name="31" dataDxfId="4466"/>
  </tableColumns>
  <tableStyleInfo name="TableStyleMedium9" showFirstColumn="0" showLastColumn="0" showRowStripes="1" showColumnStripes="0"/>
</table>
</file>

<file path=xl/tables/table222.xml><?xml version="1.0" encoding="utf-8"?>
<table xmlns="http://schemas.openxmlformats.org/spreadsheetml/2006/main" id="196" name="Tabela431197" displayName="Tabela431197" ref="B86:G95" headerRowCount="0" totalsRowShown="0" headerRowDxfId="4465">
  <tableColumns count="6">
    <tableColumn id="1" name="Kolumna1" dataDxfId="4464">
      <calculatedColumnFormula>'Wzorzec kategorii'!B48</calculatedColumnFormula>
    </tableColumn>
    <tableColumn id="2" name="Kolumna2" headerRowDxfId="4463" dataDxfId="4462"/>
    <tableColumn id="3" name="Kolumna3" headerRowDxfId="4461" dataDxfId="4460">
      <calculatedColumnFormula>SUM(Tabela1841207[#This Row])</calculatedColumnFormula>
    </tableColumn>
    <tableColumn id="4" name="Kolumna4" headerRowDxfId="4459" dataDxfId="4458">
      <calculatedColumnFormula>C86-D86</calculatedColumnFormula>
    </tableColumn>
    <tableColumn id="5" name="Kolumna5" headerRowDxfId="4457" dataDxfId="4456">
      <calculatedColumnFormula>IFERROR(D86/C86,"")</calculatedColumnFormula>
    </tableColumn>
    <tableColumn id="6" name="Kolumna6" headerRowDxfId="4455" dataDxfId="4454"/>
  </tableColumns>
  <tableStyleInfo name="TableStyleLight9" showFirstColumn="0" showLastColumn="0" showRowStripes="1" showColumnStripes="0"/>
</table>
</file>

<file path=xl/tables/table223.xml><?xml version="1.0" encoding="utf-8"?>
<table xmlns="http://schemas.openxmlformats.org/spreadsheetml/2006/main" id="197" name="Tabela832198" displayName="Tabela832198" ref="B110:G119" headerRowCount="0" totalsRowShown="0">
  <tableColumns count="6">
    <tableColumn id="1" name="Kolumna1" headerRowDxfId="4453" dataDxfId="4452">
      <calculatedColumnFormula>'Wzorzec kategorii'!B72</calculatedColumnFormula>
    </tableColumn>
    <tableColumn id="2" name="Kolumna2" dataDxfId="4451"/>
    <tableColumn id="3" name="Kolumna3" dataDxfId="4450">
      <calculatedColumnFormula>SUM(Tabela192143209[#This Row])</calculatedColumnFormula>
    </tableColumn>
    <tableColumn id="4" name="Kolumna4" dataDxfId="4449">
      <calculatedColumnFormula>C110-D110</calculatedColumnFormula>
    </tableColumn>
    <tableColumn id="5" name="Kolumna5" dataDxfId="4448">
      <calculatedColumnFormula>IFERROR(D110/C110,"")</calculatedColumnFormula>
    </tableColumn>
    <tableColumn id="6" name="Kolumna6" dataDxfId="4447"/>
  </tableColumns>
  <tableStyleInfo name="TableStyleLight9" showFirstColumn="0" showLastColumn="0" showRowStripes="1" showColumnStripes="0"/>
</table>
</file>

<file path=xl/tables/table224.xml><?xml version="1.0" encoding="utf-8"?>
<table xmlns="http://schemas.openxmlformats.org/spreadsheetml/2006/main" id="198" name="Tabela933199" displayName="Tabela933199" ref="B122:G131" headerRowCount="0" totalsRowShown="0">
  <tableColumns count="6">
    <tableColumn id="1" name="Kolumna1" headerRowDxfId="4446" dataDxfId="4445">
      <calculatedColumnFormula>'Wzorzec kategorii'!B84</calculatedColumnFormula>
    </tableColumn>
    <tableColumn id="2" name="Kolumna2" dataDxfId="4444"/>
    <tableColumn id="3" name="Kolumna3" dataDxfId="4443">
      <calculatedColumnFormula>SUM(Tabela19212547213[#This Row])</calculatedColumnFormula>
    </tableColumn>
    <tableColumn id="4" name="Kolumna4" dataDxfId="4442">
      <calculatedColumnFormula>C122-D122</calculatedColumnFormula>
    </tableColumn>
    <tableColumn id="5" name="Kolumna5" dataDxfId="4441">
      <calculatedColumnFormula>IFERROR(D122/C122,"")</calculatedColumnFormula>
    </tableColumn>
    <tableColumn id="6" name="Kolumna6" dataDxfId="4440"/>
  </tableColumns>
  <tableStyleInfo name="TableStyleLight9" showFirstColumn="0" showLastColumn="0" showRowStripes="1" showColumnStripes="0"/>
</table>
</file>

<file path=xl/tables/table225.xml><?xml version="1.0" encoding="utf-8"?>
<table xmlns="http://schemas.openxmlformats.org/spreadsheetml/2006/main" id="199" name="Tabela1034200" displayName="Tabela1034200" ref="B134:G143" headerRowCount="0" totalsRowShown="0">
  <tableColumns count="6">
    <tableColumn id="1" name="Kolumna1" headerRowDxfId="4439" dataDxfId="4438">
      <calculatedColumnFormula>'Wzorzec kategorii'!B96</calculatedColumnFormula>
    </tableColumn>
    <tableColumn id="2" name="Kolumna2" dataDxfId="4437"/>
    <tableColumn id="3" name="Kolumna3" dataDxfId="4436">
      <calculatedColumnFormula>SUM(Tabela19212446212[#This Row])</calculatedColumnFormula>
    </tableColumn>
    <tableColumn id="4" name="Kolumna4" dataDxfId="4435">
      <calculatedColumnFormula>C134-D134</calculatedColumnFormula>
    </tableColumn>
    <tableColumn id="5" name="Kolumna5" dataDxfId="4434">
      <calculatedColumnFormula>IFERROR(D134/C134,"")</calculatedColumnFormula>
    </tableColumn>
    <tableColumn id="6" name="Kolumna6" dataDxfId="4433"/>
  </tableColumns>
  <tableStyleInfo name="TableStyleLight9" showFirstColumn="0" showLastColumn="0" showRowStripes="1" showColumnStripes="0"/>
</table>
</file>

<file path=xl/tables/table226.xml><?xml version="1.0" encoding="utf-8"?>
<table xmlns="http://schemas.openxmlformats.org/spreadsheetml/2006/main" id="200" name="Tabela1135201" displayName="Tabela1135201" ref="B146:G155" headerRowCount="0" totalsRowShown="0">
  <tableColumns count="6">
    <tableColumn id="1" name="Kolumna1" dataDxfId="4432">
      <calculatedColumnFormula>'Wzorzec kategorii'!B108</calculatedColumnFormula>
    </tableColumn>
    <tableColumn id="2" name="Kolumna2" dataDxfId="4431"/>
    <tableColumn id="3" name="Kolumna3" dataDxfId="4430">
      <calculatedColumnFormula>SUM(Tabela192244210[#This Row])</calculatedColumnFormula>
    </tableColumn>
    <tableColumn id="4" name="Kolumna4" dataDxfId="4429">
      <calculatedColumnFormula>C146-D146</calculatedColumnFormula>
    </tableColumn>
    <tableColumn id="5" name="Kolumna5" dataDxfId="4428">
      <calculatedColumnFormula>IFERROR(D146/C146,"")</calculatedColumnFormula>
    </tableColumn>
    <tableColumn id="6" name="Kolumna6" dataDxfId="4427"/>
  </tableColumns>
  <tableStyleInfo name="TableStyleLight9" showFirstColumn="0" showLastColumn="0" showRowStripes="1" showColumnStripes="0"/>
</table>
</file>

<file path=xl/tables/table227.xml><?xml version="1.0" encoding="utf-8"?>
<table xmlns="http://schemas.openxmlformats.org/spreadsheetml/2006/main" id="201" name="Tabela1236202" displayName="Tabela1236202" ref="B158:G167" headerRowCount="0" totalsRowShown="0">
  <tableColumns count="6">
    <tableColumn id="1" name="Kolumna1" dataDxfId="4426">
      <calculatedColumnFormula>'Wzorzec kategorii'!B120</calculatedColumnFormula>
    </tableColumn>
    <tableColumn id="2" name="Kolumna2" dataDxfId="4425"/>
    <tableColumn id="3" name="Kolumna3" dataDxfId="4424">
      <calculatedColumnFormula>SUM(Tabela2548214[#This Row])</calculatedColumnFormula>
    </tableColumn>
    <tableColumn id="4" name="Kolumna4" dataDxfId="4423">
      <calculatedColumnFormula>C158-D158</calculatedColumnFormula>
    </tableColumn>
    <tableColumn id="5" name="Kolumna5" dataDxfId="4422">
      <calculatedColumnFormula>IFERROR(D158/C158,"")</calculatedColumnFormula>
    </tableColumn>
    <tableColumn id="6" name="Kolumna6"/>
  </tableColumns>
  <tableStyleInfo name="TableStyleLight9" showFirstColumn="0" showLastColumn="0" showRowStripes="1" showColumnStripes="0"/>
</table>
</file>

<file path=xl/tables/table228.xml><?xml version="1.0" encoding="utf-8"?>
<table xmlns="http://schemas.openxmlformats.org/spreadsheetml/2006/main" id="202" name="Tabela1337203" displayName="Tabela1337203" ref="B170:G179" headerRowCount="0" totalsRowShown="0">
  <tableColumns count="6">
    <tableColumn id="1" name="Kolumna1" dataDxfId="4421">
      <calculatedColumnFormula>'Wzorzec kategorii'!B132</calculatedColumnFormula>
    </tableColumn>
    <tableColumn id="2" name="Kolumna2" dataDxfId="4420"/>
    <tableColumn id="3" name="Kolumna3" dataDxfId="4419">
      <calculatedColumnFormula>SUM(Tabela2649215[#This Row])</calculatedColumnFormula>
    </tableColumn>
    <tableColumn id="4" name="Kolumna4" dataDxfId="4418">
      <calculatedColumnFormula>C170-D170</calculatedColumnFormula>
    </tableColumn>
    <tableColumn id="5" name="Kolumna5" dataDxfId="4417">
      <calculatedColumnFormula>IFERROR(D170/C170,"")</calculatedColumnFormula>
    </tableColumn>
    <tableColumn id="6" name="Kolumna6" dataDxfId="4416"/>
  </tableColumns>
  <tableStyleInfo name="TableStyleLight9" showFirstColumn="0" showLastColumn="0" showRowStripes="1" showColumnStripes="0"/>
</table>
</file>

<file path=xl/tables/table229.xml><?xml version="1.0" encoding="utf-8"?>
<table xmlns="http://schemas.openxmlformats.org/spreadsheetml/2006/main" id="203" name="Tabela1438204" displayName="Tabela1438204" ref="B182:G191" headerRowCount="0" totalsRowShown="0">
  <tableColumns count="6">
    <tableColumn id="1" name="Kolumna1" dataDxfId="4415">
      <calculatedColumnFormula>'Wzorzec kategorii'!B144</calculatedColumnFormula>
    </tableColumn>
    <tableColumn id="2" name="Kolumna2" dataDxfId="4414"/>
    <tableColumn id="3" name="Kolumna3" dataDxfId="4413">
      <calculatedColumnFormula>SUM(Tabela2750216[#This Row])</calculatedColumnFormula>
    </tableColumn>
    <tableColumn id="4" name="Kolumna4" dataDxfId="4412">
      <calculatedColumnFormula>C182-D182</calculatedColumnFormula>
    </tableColumn>
    <tableColumn id="5" name="Kolumna5" dataDxfId="4411">
      <calculatedColumnFormula>IFERROR(D182/C182,"")</calculatedColumnFormula>
    </tableColumn>
    <tableColumn id="6" name="Kolumna6" dataDxfId="4410"/>
  </tableColumns>
  <tableStyleInfo name="TableStyleLight9" showFirstColumn="0" showLastColumn="0" showRowStripes="1" showColumnStripes="0"/>
</table>
</file>

<file path=xl/tables/table23.xml><?xml version="1.0" encoding="utf-8"?>
<table xmlns="http://schemas.openxmlformats.org/spreadsheetml/2006/main" id="26" name="Tabela26" displayName="Tabela26" ref="I126:AM134" totalsRowShown="0" headerRowDxfId="8003" headerRowBorderDxfId="8002">
  <autoFilter ref="I126:AM1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8001"/>
    <tableColumn id="2" name="2" dataDxfId="8000"/>
    <tableColumn id="3" name="3" dataDxfId="7999"/>
    <tableColumn id="4" name="4" dataDxfId="7998"/>
    <tableColumn id="5" name="5" dataDxfId="7997"/>
    <tableColumn id="6" name="6" dataDxfId="7996"/>
    <tableColumn id="7" name="7" dataDxfId="7995"/>
    <tableColumn id="8" name="8" dataDxfId="7994"/>
    <tableColumn id="9" name="9" dataDxfId="7993"/>
    <tableColumn id="10" name="10" dataDxfId="7992"/>
    <tableColumn id="11" name="11" dataDxfId="7991"/>
    <tableColumn id="12" name="12" dataDxfId="7990"/>
    <tableColumn id="13" name="13" dataDxfId="7989"/>
    <tableColumn id="14" name="14" dataDxfId="7988"/>
    <tableColumn id="15" name="15" dataDxfId="7987"/>
    <tableColumn id="16" name="16" dataDxfId="7986"/>
    <tableColumn id="17" name="17" dataDxfId="7985"/>
    <tableColumn id="18" name="18" dataDxfId="7984"/>
    <tableColumn id="19" name="19" dataDxfId="7983"/>
    <tableColumn id="20" name="20" dataDxfId="7982"/>
    <tableColumn id="21" name="21" dataDxfId="7981"/>
    <tableColumn id="22" name="22" dataDxfId="7980"/>
    <tableColumn id="23" name="23" dataDxfId="7979"/>
    <tableColumn id="24" name="24" dataDxfId="7978"/>
    <tableColumn id="25" name="25" dataDxfId="7977"/>
    <tableColumn id="26" name="26" dataDxfId="7976"/>
    <tableColumn id="27" name="27" dataDxfId="7975"/>
    <tableColumn id="28" name="28" dataDxfId="7974"/>
    <tableColumn id="29" name="29" dataDxfId="7973"/>
    <tableColumn id="30" name="30" dataDxfId="7972"/>
    <tableColumn id="31" name="31" dataDxfId="7971"/>
  </tableColumns>
  <tableStyleInfo name="TableStyleMedium9" showFirstColumn="0" showLastColumn="0" showRowStripes="1" showColumnStripes="0"/>
</table>
</file>

<file path=xl/tables/table230.xml><?xml version="1.0" encoding="utf-8"?>
<table xmlns="http://schemas.openxmlformats.org/spreadsheetml/2006/main" id="204" name="Tabela1539205" displayName="Tabela1539205" ref="B194:G203" headerRowCount="0" totalsRowShown="0">
  <tableColumns count="6">
    <tableColumn id="1" name="Kolumna1" dataDxfId="4409">
      <calculatedColumnFormula>'Wzorzec kategorii'!B156</calculatedColumnFormula>
    </tableColumn>
    <tableColumn id="2" name="Kolumna2" dataDxfId="4408"/>
    <tableColumn id="3" name="Kolumna3" dataDxfId="4407">
      <calculatedColumnFormula>SUM(Tabela2851217[#This Row])</calculatedColumnFormula>
    </tableColumn>
    <tableColumn id="4" name="Kolumna4" dataDxfId="4406">
      <calculatedColumnFormula>C194-D194</calculatedColumnFormula>
    </tableColumn>
    <tableColumn id="5" name="Kolumna5" dataDxfId="4405">
      <calculatedColumnFormula>IFERROR(D194/C194,"")</calculatedColumnFormula>
    </tableColumn>
    <tableColumn id="6" name="Kolumna6" dataDxfId="4404"/>
  </tableColumns>
  <tableStyleInfo name="TableStyleLight9" showFirstColumn="0" showLastColumn="0" showRowStripes="1" showColumnStripes="0"/>
</table>
</file>

<file path=xl/tables/table231.xml><?xml version="1.0" encoding="utf-8"?>
<table xmlns="http://schemas.openxmlformats.org/spreadsheetml/2006/main" id="205" name="Tabela1640206" displayName="Tabela1640206" ref="B206:G215" headerRowCount="0" totalsRowShown="0">
  <tableColumns count="6">
    <tableColumn id="1" name="Kolumna1" dataDxfId="4403">
      <calculatedColumnFormula>'Wzorzec kategorii'!B168</calculatedColumnFormula>
    </tableColumn>
    <tableColumn id="2" name="Kolumna2" dataDxfId="4402"/>
    <tableColumn id="3" name="Kolumna3" dataDxfId="4401">
      <calculatedColumnFormula>SUM(Tabela192345211[#This Row])</calculatedColumnFormula>
    </tableColumn>
    <tableColumn id="4" name="Kolumna4" dataDxfId="4400">
      <calculatedColumnFormula>C206-D206</calculatedColumnFormula>
    </tableColumn>
    <tableColumn id="5" name="Kolumna5" dataDxfId="4399">
      <calculatedColumnFormula>IFERROR(D206/C206,"")</calculatedColumnFormula>
    </tableColumn>
    <tableColumn id="6" name="Kolumna6" dataDxfId="4398"/>
  </tableColumns>
  <tableStyleInfo name="TableStyleLight9" showFirstColumn="0" showLastColumn="0" showRowStripes="1" showColumnStripes="0"/>
</table>
</file>

<file path=xl/tables/table232.xml><?xml version="1.0" encoding="utf-8"?>
<table xmlns="http://schemas.openxmlformats.org/spreadsheetml/2006/main" id="206" name="Tabela1841207" displayName="Tabela1841207" ref="I85:AM95" totalsRowShown="0" headerRowDxfId="4397" dataDxfId="4395" headerRowBorderDxfId="4396">
  <autoFilter ref="I85:AM9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394"/>
    <tableColumn id="2" name="2" dataDxfId="4393"/>
    <tableColumn id="3" name="3" dataDxfId="4392"/>
    <tableColumn id="4" name="4" dataDxfId="4391"/>
    <tableColumn id="5" name="5" dataDxfId="4390"/>
    <tableColumn id="6" name="6" dataDxfId="4389"/>
    <tableColumn id="7" name="7" dataDxfId="4388"/>
    <tableColumn id="8" name="8" dataDxfId="4387"/>
    <tableColumn id="9" name="9" dataDxfId="4386"/>
    <tableColumn id="10" name="10" dataDxfId="4385"/>
    <tableColumn id="11" name="11" dataDxfId="4384"/>
    <tableColumn id="12" name="12" dataDxfId="4383"/>
    <tableColumn id="13" name="13" dataDxfId="4382"/>
    <tableColumn id="14" name="14" dataDxfId="4381"/>
    <tableColumn id="15" name="15" dataDxfId="4380"/>
    <tableColumn id="16" name="16" dataDxfId="4379"/>
    <tableColumn id="17" name="17" dataDxfId="4378"/>
    <tableColumn id="18" name="18" dataDxfId="4377"/>
    <tableColumn id="19" name="19" dataDxfId="4376"/>
    <tableColumn id="20" name="20" dataDxfId="4375"/>
    <tableColumn id="21" name="21" dataDxfId="4374"/>
    <tableColumn id="22" name="22" dataDxfId="4373"/>
    <tableColumn id="23" name="23" dataDxfId="4372"/>
    <tableColumn id="24" name="24" dataDxfId="4371"/>
    <tableColumn id="25" name="25" dataDxfId="4370"/>
    <tableColumn id="26" name="26" dataDxfId="4369"/>
    <tableColumn id="27" name="27" dataDxfId="4368"/>
    <tableColumn id="28" name="28" dataDxfId="4367"/>
    <tableColumn id="29" name="29" dataDxfId="4366"/>
    <tableColumn id="30" name="30" dataDxfId="4365"/>
    <tableColumn id="31" name="31" dataDxfId="4364"/>
  </tableColumns>
  <tableStyleInfo name="TableStyleMedium9" showFirstColumn="0" showLastColumn="0" showRowStripes="1" showColumnStripes="0"/>
</table>
</file>

<file path=xl/tables/table233.xml><?xml version="1.0" encoding="utf-8"?>
<table xmlns="http://schemas.openxmlformats.org/spreadsheetml/2006/main" id="207" name="Tabela1942208" displayName="Tabela1942208" ref="I97:AM107" totalsRowShown="0" headerRowDxfId="4363" dataDxfId="4361" headerRowBorderDxfId="4362">
  <autoFilter ref="I97:AM10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360"/>
    <tableColumn id="2" name="2" dataDxfId="4359"/>
    <tableColumn id="3" name="3" dataDxfId="4358"/>
    <tableColumn id="4" name="4" dataDxfId="4357"/>
    <tableColumn id="5" name="5" dataDxfId="4356"/>
    <tableColumn id="6" name="6" dataDxfId="4355"/>
    <tableColumn id="7" name="7" dataDxfId="4354"/>
    <tableColumn id="8" name="8" dataDxfId="4353"/>
    <tableColumn id="9" name="9" dataDxfId="4352"/>
    <tableColumn id="10" name="10" dataDxfId="4351"/>
    <tableColumn id="11" name="11" dataDxfId="4350"/>
    <tableColumn id="12" name="12" dataDxfId="4349"/>
    <tableColumn id="13" name="13" dataDxfId="4348"/>
    <tableColumn id="14" name="14" dataDxfId="4347"/>
    <tableColumn id="15" name="15" dataDxfId="4346"/>
    <tableColumn id="16" name="16" dataDxfId="4345"/>
    <tableColumn id="17" name="17" dataDxfId="4344"/>
    <tableColumn id="18" name="18" dataDxfId="4343"/>
    <tableColumn id="19" name="19" dataDxfId="4342"/>
    <tableColumn id="20" name="20" dataDxfId="4341"/>
    <tableColumn id="21" name="21" dataDxfId="4340"/>
    <tableColumn id="22" name="22" dataDxfId="4339"/>
    <tableColumn id="23" name="23" dataDxfId="4338"/>
    <tableColumn id="24" name="24" dataDxfId="4337"/>
    <tableColumn id="25" name="25" dataDxfId="4336"/>
    <tableColumn id="26" name="26" dataDxfId="4335"/>
    <tableColumn id="27" name="27" dataDxfId="4334"/>
    <tableColumn id="28" name="28" dataDxfId="4333"/>
    <tableColumn id="29" name="29" dataDxfId="4332"/>
    <tableColumn id="30" name="30" dataDxfId="4331"/>
    <tableColumn id="31" name="31" dataDxfId="4330"/>
  </tableColumns>
  <tableStyleInfo name="TableStyleMedium9" showFirstColumn="0" showLastColumn="0" showRowStripes="1" showColumnStripes="0"/>
</table>
</file>

<file path=xl/tables/table234.xml><?xml version="1.0" encoding="utf-8"?>
<table xmlns="http://schemas.openxmlformats.org/spreadsheetml/2006/main" id="208" name="Tabela192143209" displayName="Tabela192143209" ref="I109:AM119" totalsRowShown="0" headerRowDxfId="4329" dataDxfId="4327" headerRowBorderDxfId="4328">
  <autoFilter ref="I109:AM1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326"/>
    <tableColumn id="2" name="2" dataDxfId="4325"/>
    <tableColumn id="3" name="3" dataDxfId="4324"/>
    <tableColumn id="4" name="4" dataDxfId="4323"/>
    <tableColumn id="5" name="5" dataDxfId="4322"/>
    <tableColumn id="6" name="6" dataDxfId="4321"/>
    <tableColumn id="7" name="7" dataDxfId="4320"/>
    <tableColumn id="8" name="8" dataDxfId="4319"/>
    <tableColumn id="9" name="9" dataDxfId="4318"/>
    <tableColumn id="10" name="10" dataDxfId="4317"/>
    <tableColumn id="11" name="11" dataDxfId="4316"/>
    <tableColumn id="12" name="12" dataDxfId="4315"/>
    <tableColumn id="13" name="13" dataDxfId="4314"/>
    <tableColumn id="14" name="14" dataDxfId="4313"/>
    <tableColumn id="15" name="15" dataDxfId="4312"/>
    <tableColumn id="16" name="16" dataDxfId="4311"/>
    <tableColumn id="17" name="17" dataDxfId="4310"/>
    <tableColumn id="18" name="18" dataDxfId="4309"/>
    <tableColumn id="19" name="19" dataDxfId="4308"/>
    <tableColumn id="20" name="20" dataDxfId="4307"/>
    <tableColumn id="21" name="21" dataDxfId="4306"/>
    <tableColumn id="22" name="22" dataDxfId="4305"/>
    <tableColumn id="23" name="23" dataDxfId="4304"/>
    <tableColumn id="24" name="24" dataDxfId="4303"/>
    <tableColumn id="25" name="25" dataDxfId="4302"/>
    <tableColumn id="26" name="26" dataDxfId="4301"/>
    <tableColumn id="27" name="27" dataDxfId="4300"/>
    <tableColumn id="28" name="28" dataDxfId="4299"/>
    <tableColumn id="29" name="29" dataDxfId="4298"/>
    <tableColumn id="30" name="30" dataDxfId="4297"/>
    <tableColumn id="31" name="31" dataDxfId="4296"/>
  </tableColumns>
  <tableStyleInfo name="TableStyleMedium9" showFirstColumn="0" showLastColumn="0" showRowStripes="1" showColumnStripes="0"/>
</table>
</file>

<file path=xl/tables/table235.xml><?xml version="1.0" encoding="utf-8"?>
<table xmlns="http://schemas.openxmlformats.org/spreadsheetml/2006/main" id="209" name="Tabela192244210" displayName="Tabela192244210" ref="I145:AM155" totalsRowShown="0" headerRowDxfId="4295" dataDxfId="4293" headerRowBorderDxfId="4294">
  <autoFilter ref="I145:AM1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292"/>
    <tableColumn id="2" name="2" dataDxfId="4291"/>
    <tableColumn id="3" name="3" dataDxfId="4290"/>
    <tableColumn id="4" name="4" dataDxfId="4289"/>
    <tableColumn id="5" name="5" dataDxfId="4288"/>
    <tableColumn id="6" name="6" dataDxfId="4287"/>
    <tableColumn id="7" name="7" dataDxfId="4286"/>
    <tableColumn id="8" name="8" dataDxfId="4285"/>
    <tableColumn id="9" name="9" dataDxfId="4284"/>
    <tableColumn id="10" name="10" dataDxfId="4283"/>
    <tableColumn id="11" name="11" dataDxfId="4282"/>
    <tableColumn id="12" name="12" dataDxfId="4281"/>
    <tableColumn id="13" name="13" dataDxfId="4280"/>
    <tableColumn id="14" name="14" dataDxfId="4279"/>
    <tableColumn id="15" name="15" dataDxfId="4278"/>
    <tableColumn id="16" name="16" dataDxfId="4277"/>
    <tableColumn id="17" name="17" dataDxfId="4276"/>
    <tableColumn id="18" name="18" dataDxfId="4275"/>
    <tableColumn id="19" name="19" dataDxfId="4274"/>
    <tableColumn id="20" name="20" dataDxfId="4273"/>
    <tableColumn id="21" name="21" dataDxfId="4272"/>
    <tableColumn id="22" name="22" dataDxfId="4271"/>
    <tableColumn id="23" name="23" dataDxfId="4270"/>
    <tableColumn id="24" name="24" dataDxfId="4269"/>
    <tableColumn id="25" name="25" dataDxfId="4268"/>
    <tableColumn id="26" name="26" dataDxfId="4267"/>
    <tableColumn id="27" name="27" dataDxfId="4266"/>
    <tableColumn id="28" name="28" dataDxfId="4265"/>
    <tableColumn id="29" name="29" dataDxfId="4264"/>
    <tableColumn id="30" name="30" dataDxfId="4263"/>
    <tableColumn id="31" name="31" dataDxfId="4262"/>
  </tableColumns>
  <tableStyleInfo name="TableStyleMedium9" showFirstColumn="0" showLastColumn="0" showRowStripes="1" showColumnStripes="0"/>
</table>
</file>

<file path=xl/tables/table236.xml><?xml version="1.0" encoding="utf-8"?>
<table xmlns="http://schemas.openxmlformats.org/spreadsheetml/2006/main" id="210" name="Tabela192345211" displayName="Tabela192345211" ref="I205:AM215" totalsRowShown="0" headerRowDxfId="4261" dataDxfId="4259" headerRowBorderDxfId="4260">
  <autoFilter ref="I205:AM2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258"/>
    <tableColumn id="2" name="2" dataDxfId="4257"/>
    <tableColumn id="3" name="3" dataDxfId="4256"/>
    <tableColumn id="4" name="4" dataDxfId="4255"/>
    <tableColumn id="5" name="5" dataDxfId="4254"/>
    <tableColumn id="6" name="6" dataDxfId="4253"/>
    <tableColumn id="7" name="7" dataDxfId="4252"/>
    <tableColumn id="8" name="8" dataDxfId="4251"/>
    <tableColumn id="9" name="9" dataDxfId="4250"/>
    <tableColumn id="10" name="10" dataDxfId="4249"/>
    <tableColumn id="11" name="11" dataDxfId="4248"/>
    <tableColumn id="12" name="12" dataDxfId="4247"/>
    <tableColumn id="13" name="13" dataDxfId="4246"/>
    <tableColumn id="14" name="14" dataDxfId="4245"/>
    <tableColumn id="15" name="15" dataDxfId="4244"/>
    <tableColumn id="16" name="16" dataDxfId="4243"/>
    <tableColumn id="17" name="17" dataDxfId="4242"/>
    <tableColumn id="18" name="18" dataDxfId="4241"/>
    <tableColumn id="19" name="19" dataDxfId="4240"/>
    <tableColumn id="20" name="20" dataDxfId="4239"/>
    <tableColumn id="21" name="21" dataDxfId="4238"/>
    <tableColumn id="22" name="22" dataDxfId="4237"/>
    <tableColumn id="23" name="23" dataDxfId="4236"/>
    <tableColumn id="24" name="24" dataDxfId="4235"/>
    <tableColumn id="25" name="25" dataDxfId="4234"/>
    <tableColumn id="26" name="26" dataDxfId="4233"/>
    <tableColumn id="27" name="27" dataDxfId="4232"/>
    <tableColumn id="28" name="28" dataDxfId="4231"/>
    <tableColumn id="29" name="29" dataDxfId="4230"/>
    <tableColumn id="30" name="30" dataDxfId="4229"/>
    <tableColumn id="31" name="31" dataDxfId="4228"/>
  </tableColumns>
  <tableStyleInfo name="TableStyleMedium9" showFirstColumn="0" showLastColumn="0" showRowStripes="1" showColumnStripes="0"/>
</table>
</file>

<file path=xl/tables/table237.xml><?xml version="1.0" encoding="utf-8"?>
<table xmlns="http://schemas.openxmlformats.org/spreadsheetml/2006/main" id="211" name="Tabela19212446212" displayName="Tabela19212446212" ref="I133:AM143" totalsRowShown="0" headerRowDxfId="4227" dataDxfId="4225" headerRowBorderDxfId="4226">
  <autoFilter ref="I133:AM1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224"/>
    <tableColumn id="2" name="2" dataDxfId="4223"/>
    <tableColumn id="3" name="3" dataDxfId="4222"/>
    <tableColumn id="4" name="4" dataDxfId="4221"/>
    <tableColumn id="5" name="5" dataDxfId="4220"/>
    <tableColumn id="6" name="6" dataDxfId="4219"/>
    <tableColumn id="7" name="7" dataDxfId="4218"/>
    <tableColumn id="8" name="8" dataDxfId="4217"/>
    <tableColumn id="9" name="9" dataDxfId="4216"/>
    <tableColumn id="10" name="10" dataDxfId="4215"/>
    <tableColumn id="11" name="11" dataDxfId="4214"/>
    <tableColumn id="12" name="12" dataDxfId="4213"/>
    <tableColumn id="13" name="13" dataDxfId="4212"/>
    <tableColumn id="14" name="14" dataDxfId="4211"/>
    <tableColumn id="15" name="15" dataDxfId="4210"/>
    <tableColumn id="16" name="16" dataDxfId="4209"/>
    <tableColumn id="17" name="17" dataDxfId="4208"/>
    <tableColumn id="18" name="18" dataDxfId="4207"/>
    <tableColumn id="19" name="19" dataDxfId="4206"/>
    <tableColumn id="20" name="20" dataDxfId="4205"/>
    <tableColumn id="21" name="21" dataDxfId="4204"/>
    <tableColumn id="22" name="22" dataDxfId="4203"/>
    <tableColumn id="23" name="23" dataDxfId="4202"/>
    <tableColumn id="24" name="24" dataDxfId="4201"/>
    <tableColumn id="25" name="25" dataDxfId="4200"/>
    <tableColumn id="26" name="26" dataDxfId="4199"/>
    <tableColumn id="27" name="27" dataDxfId="4198"/>
    <tableColumn id="28" name="28" dataDxfId="4197"/>
    <tableColumn id="29" name="29" dataDxfId="4196"/>
    <tableColumn id="30" name="30" dataDxfId="4195"/>
    <tableColumn id="31" name="31" dataDxfId="4194"/>
  </tableColumns>
  <tableStyleInfo name="TableStyleMedium9" showFirstColumn="0" showLastColumn="0" showRowStripes="1" showColumnStripes="0"/>
</table>
</file>

<file path=xl/tables/table238.xml><?xml version="1.0" encoding="utf-8"?>
<table xmlns="http://schemas.openxmlformats.org/spreadsheetml/2006/main" id="212" name="Tabela19212547213" displayName="Tabela19212547213" ref="I121:AM131" totalsRowShown="0" headerRowDxfId="4193" dataDxfId="4191" headerRowBorderDxfId="4192">
  <autoFilter ref="I121:AM1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190"/>
    <tableColumn id="2" name="2" dataDxfId="4189"/>
    <tableColumn id="3" name="3" dataDxfId="4188"/>
    <tableColumn id="4" name="4" dataDxfId="4187"/>
    <tableColumn id="5" name="5" dataDxfId="4186"/>
    <tableColumn id="6" name="6" dataDxfId="4185"/>
    <tableColumn id="7" name="7" dataDxfId="4184"/>
    <tableColumn id="8" name="8" dataDxfId="4183"/>
    <tableColumn id="9" name="9" dataDxfId="4182"/>
    <tableColumn id="10" name="10" dataDxfId="4181"/>
    <tableColumn id="11" name="11" dataDxfId="4180"/>
    <tableColumn id="12" name="12" dataDxfId="4179"/>
    <tableColumn id="13" name="13" dataDxfId="4178"/>
    <tableColumn id="14" name="14" dataDxfId="4177"/>
    <tableColumn id="15" name="15" dataDxfId="4176"/>
    <tableColumn id="16" name="16" dataDxfId="4175"/>
    <tableColumn id="17" name="17" dataDxfId="4174"/>
    <tableColumn id="18" name="18" dataDxfId="4173"/>
    <tableColumn id="19" name="19" dataDxfId="4172"/>
    <tableColumn id="20" name="20" dataDxfId="4171"/>
    <tableColumn id="21" name="21" dataDxfId="4170"/>
    <tableColumn id="22" name="22" dataDxfId="4169"/>
    <tableColumn id="23" name="23" dataDxfId="4168"/>
    <tableColumn id="24" name="24" dataDxfId="4167"/>
    <tableColumn id="25" name="25" dataDxfId="4166"/>
    <tableColumn id="26" name="26" dataDxfId="4165"/>
    <tableColumn id="27" name="27" dataDxfId="4164"/>
    <tableColumn id="28" name="28" dataDxfId="4163"/>
    <tableColumn id="29" name="29" dataDxfId="4162"/>
    <tableColumn id="30" name="30" dataDxfId="4161"/>
    <tableColumn id="31" name="31" dataDxfId="4160"/>
  </tableColumns>
  <tableStyleInfo name="TableStyleMedium9" showFirstColumn="0" showLastColumn="0" showRowStripes="1" showColumnStripes="0"/>
</table>
</file>

<file path=xl/tables/table239.xml><?xml version="1.0" encoding="utf-8"?>
<table xmlns="http://schemas.openxmlformats.org/spreadsheetml/2006/main" id="213" name="Tabela2548214" displayName="Tabela2548214" ref="I157:AM167" totalsRowShown="0" headerRowDxfId="4159" dataDxfId="4158">
  <autoFilter ref="I157:AM1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157"/>
    <tableColumn id="2" name="2" dataDxfId="4156"/>
    <tableColumn id="3" name="3" dataDxfId="4155"/>
    <tableColumn id="4" name="4" dataDxfId="4154"/>
    <tableColumn id="5" name="5" dataDxfId="4153"/>
    <tableColumn id="6" name="6" dataDxfId="4152"/>
    <tableColumn id="7" name="7" dataDxfId="4151"/>
    <tableColumn id="8" name="8" dataDxfId="4150"/>
    <tableColumn id="9" name="9" dataDxfId="4149"/>
    <tableColumn id="10" name="10" dataDxfId="4148"/>
    <tableColumn id="11" name="11" dataDxfId="4147"/>
    <tableColumn id="12" name="12" dataDxfId="4146"/>
    <tableColumn id="13" name="13" dataDxfId="4145"/>
    <tableColumn id="14" name="14" dataDxfId="4144"/>
    <tableColumn id="15" name="15" dataDxfId="4143"/>
    <tableColumn id="16" name="16" dataDxfId="4142"/>
    <tableColumn id="17" name="17" dataDxfId="4141"/>
    <tableColumn id="18" name="18" dataDxfId="4140"/>
    <tableColumn id="19" name="19" dataDxfId="4139"/>
    <tableColumn id="20" name="20" dataDxfId="4138"/>
    <tableColumn id="21" name="21" dataDxfId="4137"/>
    <tableColumn id="22" name="22" dataDxfId="4136"/>
    <tableColumn id="23" name="23" dataDxfId="4135"/>
    <tableColumn id="24" name="24" dataDxfId="4134"/>
    <tableColumn id="25" name="25" dataDxfId="4133"/>
    <tableColumn id="26" name="26" dataDxfId="4132"/>
    <tableColumn id="27" name="27" dataDxfId="4131"/>
    <tableColumn id="28" name="28" dataDxfId="4130"/>
    <tableColumn id="29" name="29" dataDxfId="4129"/>
    <tableColumn id="30" name="30" dataDxfId="4128"/>
    <tableColumn id="31" name="31" dataDxfId="4127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7" name="Tabela27" displayName="Tabela27" ref="I136:AM144" totalsRowShown="0" headerRowDxfId="7970">
  <autoFilter ref="I136:AM1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969"/>
    <tableColumn id="2" name="2" dataDxfId="7968"/>
    <tableColumn id="3" name="3" dataDxfId="7967"/>
    <tableColumn id="4" name="4" dataDxfId="7966"/>
    <tableColumn id="5" name="5" dataDxfId="7965"/>
    <tableColumn id="6" name="6" dataDxfId="7964"/>
    <tableColumn id="7" name="7" dataDxfId="7963"/>
    <tableColumn id="8" name="8" dataDxfId="7962"/>
    <tableColumn id="9" name="9" dataDxfId="7961"/>
    <tableColumn id="10" name="10" dataDxfId="7960"/>
    <tableColumn id="11" name="11" dataDxfId="7959"/>
    <tableColumn id="12" name="12" dataDxfId="7958"/>
    <tableColumn id="13" name="13" dataDxfId="7957"/>
    <tableColumn id="14" name="14" dataDxfId="7956"/>
    <tableColumn id="15" name="15" dataDxfId="7955"/>
    <tableColumn id="16" name="16" dataDxfId="7954"/>
    <tableColumn id="17" name="17" dataDxfId="7953"/>
    <tableColumn id="18" name="18" dataDxfId="7952"/>
    <tableColumn id="19" name="19" dataDxfId="7951"/>
    <tableColumn id="20" name="20" dataDxfId="7950"/>
    <tableColumn id="21" name="21" dataDxfId="7949"/>
    <tableColumn id="22" name="22" dataDxfId="7948"/>
    <tableColumn id="23" name="23" dataDxfId="7947"/>
    <tableColumn id="24" name="24" dataDxfId="7946"/>
    <tableColumn id="25" name="25" dataDxfId="7945"/>
    <tableColumn id="26" name="26" dataDxfId="7944"/>
    <tableColumn id="27" name="27" dataDxfId="7943"/>
    <tableColumn id="28" name="28" dataDxfId="7942"/>
    <tableColumn id="29" name="29" dataDxfId="7941"/>
    <tableColumn id="30" name="30" dataDxfId="7940"/>
    <tableColumn id="31" name="31" dataDxfId="7939"/>
  </tableColumns>
  <tableStyleInfo name="TableStyleMedium9" showFirstColumn="0" showLastColumn="0" showRowStripes="1" showColumnStripes="0"/>
</table>
</file>

<file path=xl/tables/table240.xml><?xml version="1.0" encoding="utf-8"?>
<table xmlns="http://schemas.openxmlformats.org/spreadsheetml/2006/main" id="214" name="Tabela2649215" displayName="Tabela2649215" ref="I169:AM179" totalsRowShown="0" headerRowDxfId="4126" headerRowBorderDxfId="4125">
  <autoFilter ref="I169:AM1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124"/>
    <tableColumn id="2" name="2" dataDxfId="4123"/>
    <tableColumn id="3" name="3" dataDxfId="4122"/>
    <tableColumn id="4" name="4" dataDxfId="4121"/>
    <tableColumn id="5" name="5" dataDxfId="4120"/>
    <tableColumn id="6" name="6" dataDxfId="4119"/>
    <tableColumn id="7" name="7" dataDxfId="4118"/>
    <tableColumn id="8" name="8" dataDxfId="4117"/>
    <tableColumn id="9" name="9" dataDxfId="4116"/>
    <tableColumn id="10" name="10" dataDxfId="4115"/>
    <tableColumn id="11" name="11" dataDxfId="4114"/>
    <tableColumn id="12" name="12" dataDxfId="4113"/>
    <tableColumn id="13" name="13" dataDxfId="4112"/>
    <tableColumn id="14" name="14" dataDxfId="4111"/>
    <tableColumn id="15" name="15" dataDxfId="4110"/>
    <tableColumn id="16" name="16" dataDxfId="4109"/>
    <tableColumn id="17" name="17" dataDxfId="4108"/>
    <tableColumn id="18" name="18" dataDxfId="4107"/>
    <tableColumn id="19" name="19" dataDxfId="4106"/>
    <tableColumn id="20" name="20" dataDxfId="4105"/>
    <tableColumn id="21" name="21" dataDxfId="4104"/>
    <tableColumn id="22" name="22" dataDxfId="4103"/>
    <tableColumn id="23" name="23" dataDxfId="4102"/>
    <tableColumn id="24" name="24" dataDxfId="4101"/>
    <tableColumn id="25" name="25" dataDxfId="4100"/>
    <tableColumn id="26" name="26" dataDxfId="4099"/>
    <tableColumn id="27" name="27" dataDxfId="4098"/>
    <tableColumn id="28" name="28" dataDxfId="4097"/>
    <tableColumn id="29" name="29" dataDxfId="4096"/>
    <tableColumn id="30" name="30" dataDxfId="4095"/>
    <tableColumn id="31" name="31" dataDxfId="4094"/>
  </tableColumns>
  <tableStyleInfo name="TableStyleMedium9" showFirstColumn="0" showLastColumn="0" showRowStripes="1" showColumnStripes="0"/>
</table>
</file>

<file path=xl/tables/table241.xml><?xml version="1.0" encoding="utf-8"?>
<table xmlns="http://schemas.openxmlformats.org/spreadsheetml/2006/main" id="215" name="Tabela2750216" displayName="Tabela2750216" ref="I181:AM191" totalsRowShown="0" headerRowDxfId="4093">
  <autoFilter ref="I181:AM19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092"/>
    <tableColumn id="2" name="2" dataDxfId="4091"/>
    <tableColumn id="3" name="3" dataDxfId="4090"/>
    <tableColumn id="4" name="4" dataDxfId="4089"/>
    <tableColumn id="5" name="5" dataDxfId="4088"/>
    <tableColumn id="6" name="6" dataDxfId="4087"/>
    <tableColumn id="7" name="7" dataDxfId="4086"/>
    <tableColumn id="8" name="8" dataDxfId="4085"/>
    <tableColumn id="9" name="9" dataDxfId="4084"/>
    <tableColumn id="10" name="10" dataDxfId="4083"/>
    <tableColumn id="11" name="11" dataDxfId="4082"/>
    <tableColumn id="12" name="12" dataDxfId="4081"/>
    <tableColumn id="13" name="13" dataDxfId="4080"/>
    <tableColumn id="14" name="14" dataDxfId="4079"/>
    <tableColumn id="15" name="15" dataDxfId="4078"/>
    <tableColumn id="16" name="16" dataDxfId="4077"/>
    <tableColumn id="17" name="17" dataDxfId="4076"/>
    <tableColumn id="18" name="18" dataDxfId="4075"/>
    <tableColumn id="19" name="19" dataDxfId="4074"/>
    <tableColumn id="20" name="20" dataDxfId="4073"/>
    <tableColumn id="21" name="21" dataDxfId="4072"/>
    <tableColumn id="22" name="22" dataDxfId="4071"/>
    <tableColumn id="23" name="23" dataDxfId="4070"/>
    <tableColumn id="24" name="24" dataDxfId="4069"/>
    <tableColumn id="25" name="25" dataDxfId="4068"/>
    <tableColumn id="26" name="26" dataDxfId="4067"/>
    <tableColumn id="27" name="27" dataDxfId="4066"/>
    <tableColumn id="28" name="28" dataDxfId="4065"/>
    <tableColumn id="29" name="29" dataDxfId="4064"/>
    <tableColumn id="30" name="30" dataDxfId="4063"/>
    <tableColumn id="31" name="31" dataDxfId="4062"/>
  </tableColumns>
  <tableStyleInfo name="TableStyleMedium9" showFirstColumn="0" showLastColumn="0" showRowStripes="1" showColumnStripes="0"/>
</table>
</file>

<file path=xl/tables/table242.xml><?xml version="1.0" encoding="utf-8"?>
<table xmlns="http://schemas.openxmlformats.org/spreadsheetml/2006/main" id="216" name="Tabela2851217" displayName="Tabela2851217" ref="I193:AM203" totalsRowShown="0" headerRowDxfId="4061" dataDxfId="4059" headerRowBorderDxfId="4060">
  <autoFilter ref="I193:AM20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058"/>
    <tableColumn id="2" name="2" dataDxfId="4057"/>
    <tableColumn id="3" name="3" dataDxfId="4056"/>
    <tableColumn id="4" name="4" dataDxfId="4055"/>
    <tableColumn id="5" name="5" dataDxfId="4054"/>
    <tableColumn id="6" name="6" dataDxfId="4053"/>
    <tableColumn id="7" name="7" dataDxfId="4052"/>
    <tableColumn id="8" name="8" dataDxfId="4051"/>
    <tableColumn id="9" name="9" dataDxfId="4050"/>
    <tableColumn id="10" name="10" dataDxfId="4049"/>
    <tableColumn id="11" name="11" dataDxfId="4048"/>
    <tableColumn id="12" name="12" dataDxfId="4047"/>
    <tableColumn id="13" name="13" dataDxfId="4046"/>
    <tableColumn id="14" name="14" dataDxfId="4045"/>
    <tableColumn id="15" name="15" dataDxfId="4044"/>
    <tableColumn id="16" name="16" dataDxfId="4043"/>
    <tableColumn id="17" name="17" dataDxfId="4042"/>
    <tableColumn id="18" name="18" dataDxfId="4041"/>
    <tableColumn id="19" name="19" dataDxfId="4040"/>
    <tableColumn id="20" name="20" dataDxfId="4039"/>
    <tableColumn id="21" name="21" dataDxfId="4038"/>
    <tableColumn id="22" name="22" dataDxfId="4037"/>
    <tableColumn id="23" name="23" dataDxfId="4036"/>
    <tableColumn id="24" name="24" dataDxfId="4035"/>
    <tableColumn id="25" name="25" dataDxfId="4034"/>
    <tableColumn id="26" name="26" dataDxfId="4033"/>
    <tableColumn id="27" name="27" dataDxfId="4032"/>
    <tableColumn id="28" name="28" dataDxfId="4031"/>
    <tableColumn id="29" name="29" dataDxfId="4030"/>
    <tableColumn id="30" name="30" dataDxfId="4029"/>
    <tableColumn id="31" name="31" dataDxfId="4028"/>
  </tableColumns>
  <tableStyleInfo name="TableStyleMedium9" showFirstColumn="0" showLastColumn="0" showRowStripes="1" showColumnStripes="0"/>
</table>
</file>

<file path=xl/tables/table243.xml><?xml version="1.0" encoding="utf-8"?>
<table xmlns="http://schemas.openxmlformats.org/spreadsheetml/2006/main" id="217" name="Tabela164058218" displayName="Tabela164058218" ref="B218:G227" headerRowCount="0" totalsRowShown="0">
  <tableColumns count="6">
    <tableColumn id="1" name="Kolumna1" dataDxfId="4027">
      <calculatedColumnFormula>'Wzorzec kategorii'!B180</calculatedColumnFormula>
    </tableColumn>
    <tableColumn id="2" name="Kolumna2" dataDxfId="4026"/>
    <tableColumn id="3" name="Kolumna3" dataDxfId="4025">
      <calculatedColumnFormula>SUM(Tabela19234559219[#This Row])</calculatedColumnFormula>
    </tableColumn>
    <tableColumn id="4" name="Kolumna4" dataDxfId="4024">
      <calculatedColumnFormula>C218-D218</calculatedColumnFormula>
    </tableColumn>
    <tableColumn id="5" name="Kolumna5" dataDxfId="4023">
      <calculatedColumnFormula>IFERROR(D218/C218,"")</calculatedColumnFormula>
    </tableColumn>
    <tableColumn id="6" name="Kolumna6" dataDxfId="4022"/>
  </tableColumns>
  <tableStyleInfo name="TableStyleLight9" showFirstColumn="0" showLastColumn="0" showRowStripes="1" showColumnStripes="0"/>
</table>
</file>

<file path=xl/tables/table244.xml><?xml version="1.0" encoding="utf-8"?>
<table xmlns="http://schemas.openxmlformats.org/spreadsheetml/2006/main" id="218" name="Tabela19234559219" displayName="Tabela19234559219" ref="I217:AM227" totalsRowShown="0" headerRowDxfId="4021" dataDxfId="4019" headerRowBorderDxfId="4020">
  <autoFilter ref="I217:AM2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018"/>
    <tableColumn id="2" name="2" dataDxfId="4017"/>
    <tableColumn id="3" name="3" dataDxfId="4016"/>
    <tableColumn id="4" name="4" dataDxfId="4015"/>
    <tableColumn id="5" name="5" dataDxfId="4014"/>
    <tableColumn id="6" name="6" dataDxfId="4013"/>
    <tableColumn id="7" name="7" dataDxfId="4012"/>
    <tableColumn id="8" name="8" dataDxfId="4011"/>
    <tableColumn id="9" name="9" dataDxfId="4010"/>
    <tableColumn id="10" name="10" dataDxfId="4009"/>
    <tableColumn id="11" name="11" dataDxfId="4008"/>
    <tableColumn id="12" name="12" dataDxfId="4007"/>
    <tableColumn id="13" name="13" dataDxfId="4006"/>
    <tableColumn id="14" name="14" dataDxfId="4005"/>
    <tableColumn id="15" name="15" dataDxfId="4004"/>
    <tableColumn id="16" name="16" dataDxfId="4003"/>
    <tableColumn id="17" name="17" dataDxfId="4002"/>
    <tableColumn id="18" name="18" dataDxfId="4001"/>
    <tableColumn id="19" name="19" dataDxfId="4000"/>
    <tableColumn id="20" name="20" dataDxfId="3999"/>
    <tableColumn id="21" name="21" dataDxfId="3998"/>
    <tableColumn id="22" name="22" dataDxfId="3997"/>
    <tableColumn id="23" name="23" dataDxfId="3996"/>
    <tableColumn id="24" name="24" dataDxfId="3995"/>
    <tableColumn id="25" name="25" dataDxfId="3994"/>
    <tableColumn id="26" name="26" dataDxfId="3993"/>
    <tableColumn id="27" name="27" dataDxfId="3992"/>
    <tableColumn id="28" name="28" dataDxfId="3991"/>
    <tableColumn id="29" name="29" dataDxfId="3990"/>
    <tableColumn id="30" name="30" dataDxfId="3989"/>
    <tableColumn id="31" name="31" dataDxfId="3988"/>
  </tableColumns>
  <tableStyleInfo name="TableStyleMedium9" showFirstColumn="0" showLastColumn="0" showRowStripes="1" showColumnStripes="0"/>
</table>
</file>

<file path=xl/tables/table245.xml><?xml version="1.0" encoding="utf-8"?>
<table xmlns="http://schemas.openxmlformats.org/spreadsheetml/2006/main" id="219" name="Tabela16405860220" displayName="Tabela16405860220" ref="B230:G239" headerRowCount="0" totalsRowShown="0">
  <tableColumns count="6">
    <tableColumn id="1" name="Kolumna1" dataDxfId="3987">
      <calculatedColumnFormula>'Wzorzec kategorii'!B192</calculatedColumnFormula>
    </tableColumn>
    <tableColumn id="2" name="Kolumna2" dataDxfId="3986"/>
    <tableColumn id="3" name="Kolumna3" dataDxfId="3985">
      <calculatedColumnFormula>SUM(Tabela1923455962222[#This Row])</calculatedColumnFormula>
    </tableColumn>
    <tableColumn id="4" name="Kolumna4" dataDxfId="3984">
      <calculatedColumnFormula>C230-D230</calculatedColumnFormula>
    </tableColumn>
    <tableColumn id="5" name="Kolumna5" dataDxfId="3983">
      <calculatedColumnFormula>IFERROR(D230/C230,"")</calculatedColumnFormula>
    </tableColumn>
    <tableColumn id="6" name="Kolumna6" dataDxfId="3982"/>
  </tableColumns>
  <tableStyleInfo name="TableStyleLight9" showFirstColumn="0" showLastColumn="0" showRowStripes="1" showColumnStripes="0"/>
</table>
</file>

<file path=xl/tables/table246.xml><?xml version="1.0" encoding="utf-8"?>
<table xmlns="http://schemas.openxmlformats.org/spreadsheetml/2006/main" id="220" name="Tabela1640586061221" displayName="Tabela1640586061221" ref="B242:G251" headerRowCount="0" totalsRowShown="0">
  <tableColumns count="6">
    <tableColumn id="1" name="Kolumna1" dataDxfId="3981">
      <calculatedColumnFormula>'Wzorzec kategorii'!B204</calculatedColumnFormula>
    </tableColumn>
    <tableColumn id="2" name="Kolumna2" dataDxfId="3980"/>
    <tableColumn id="3" name="Kolumna3" dataDxfId="3979">
      <calculatedColumnFormula>SUM(Tabela1923455963223[#This Row])</calculatedColumnFormula>
    </tableColumn>
    <tableColumn id="4" name="Kolumna4" dataDxfId="3978">
      <calculatedColumnFormula>C242-D242</calculatedColumnFormula>
    </tableColumn>
    <tableColumn id="5" name="Kolumna5" dataDxfId="3977">
      <calculatedColumnFormula>IFERROR(D242/C242,"")</calculatedColumnFormula>
    </tableColumn>
    <tableColumn id="6" name="Kolumna6" dataDxfId="3976"/>
  </tableColumns>
  <tableStyleInfo name="TableStyleLight9" showFirstColumn="0" showLastColumn="0" showRowStripes="1" showColumnStripes="0"/>
</table>
</file>

<file path=xl/tables/table247.xml><?xml version="1.0" encoding="utf-8"?>
<table xmlns="http://schemas.openxmlformats.org/spreadsheetml/2006/main" id="221" name="Tabela1923455962222" displayName="Tabela1923455962222" ref="I229:AM239" totalsRowShown="0" headerRowDxfId="3975" dataDxfId="3973" headerRowBorderDxfId="3974">
  <autoFilter ref="I229:AM2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972"/>
    <tableColumn id="2" name="2" dataDxfId="3971"/>
    <tableColumn id="3" name="3" dataDxfId="3970"/>
    <tableColumn id="4" name="4" dataDxfId="3969"/>
    <tableColumn id="5" name="5" dataDxfId="3968"/>
    <tableColumn id="6" name="6" dataDxfId="3967"/>
    <tableColumn id="7" name="7" dataDxfId="3966"/>
    <tableColumn id="8" name="8" dataDxfId="3965"/>
    <tableColumn id="9" name="9" dataDxfId="3964"/>
    <tableColumn id="10" name="10" dataDxfId="3963"/>
    <tableColumn id="11" name="11" dataDxfId="3962"/>
    <tableColumn id="12" name="12" dataDxfId="3961"/>
    <tableColumn id="13" name="13" dataDxfId="3960"/>
    <tableColumn id="14" name="14" dataDxfId="3959"/>
    <tableColumn id="15" name="15" dataDxfId="3958"/>
    <tableColumn id="16" name="16" dataDxfId="3957"/>
    <tableColumn id="17" name="17" dataDxfId="3956"/>
    <tableColumn id="18" name="18" dataDxfId="3955"/>
    <tableColumn id="19" name="19" dataDxfId="3954"/>
    <tableColumn id="20" name="20" dataDxfId="3953"/>
    <tableColumn id="21" name="21" dataDxfId="3952"/>
    <tableColumn id="22" name="22" dataDxfId="3951"/>
    <tableColumn id="23" name="23" dataDxfId="3950"/>
    <tableColumn id="24" name="24" dataDxfId="3949"/>
    <tableColumn id="25" name="25" dataDxfId="3948"/>
    <tableColumn id="26" name="26" dataDxfId="3947"/>
    <tableColumn id="27" name="27" dataDxfId="3946"/>
    <tableColumn id="28" name="28" dataDxfId="3945"/>
    <tableColumn id="29" name="29" dataDxfId="3944"/>
    <tableColumn id="30" name="30" dataDxfId="3943"/>
    <tableColumn id="31" name="31" dataDxfId="3942"/>
  </tableColumns>
  <tableStyleInfo name="TableStyleMedium9" showFirstColumn="0" showLastColumn="0" showRowStripes="1" showColumnStripes="0"/>
</table>
</file>

<file path=xl/tables/table248.xml><?xml version="1.0" encoding="utf-8"?>
<table xmlns="http://schemas.openxmlformats.org/spreadsheetml/2006/main" id="222" name="Tabela1923455963223" displayName="Tabela1923455963223" ref="I241:AM251" totalsRowShown="0" headerRowDxfId="3941" dataDxfId="3939" headerRowBorderDxfId="3940">
  <autoFilter ref="I241:AM25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938"/>
    <tableColumn id="2" name="2" dataDxfId="3937"/>
    <tableColumn id="3" name="3" dataDxfId="3936"/>
    <tableColumn id="4" name="4" dataDxfId="3935"/>
    <tableColumn id="5" name="5" dataDxfId="3934"/>
    <tableColumn id="6" name="6" dataDxfId="3933"/>
    <tableColumn id="7" name="7" dataDxfId="3932"/>
    <tableColumn id="8" name="8" dataDxfId="3931"/>
    <tableColumn id="9" name="9" dataDxfId="3930"/>
    <tableColumn id="10" name="10" dataDxfId="3929"/>
    <tableColumn id="11" name="11" dataDxfId="3928"/>
    <tableColumn id="12" name="12" dataDxfId="3927"/>
    <tableColumn id="13" name="13" dataDxfId="3926"/>
    <tableColumn id="14" name="14" dataDxfId="3925"/>
    <tableColumn id="15" name="15" dataDxfId="3924"/>
    <tableColumn id="16" name="16" dataDxfId="3923"/>
    <tableColumn id="17" name="17" dataDxfId="3922"/>
    <tableColumn id="18" name="18" dataDxfId="3921"/>
    <tableColumn id="19" name="19" dataDxfId="3920"/>
    <tableColumn id="20" name="20" dataDxfId="3919"/>
    <tableColumn id="21" name="21" dataDxfId="3918"/>
    <tableColumn id="22" name="22" dataDxfId="3917"/>
    <tableColumn id="23" name="23" dataDxfId="3916"/>
    <tableColumn id="24" name="24" dataDxfId="3915"/>
    <tableColumn id="25" name="25" dataDxfId="3914"/>
    <tableColumn id="26" name="26" dataDxfId="3913"/>
    <tableColumn id="27" name="27" dataDxfId="3912"/>
    <tableColumn id="28" name="28" dataDxfId="3911"/>
    <tableColumn id="29" name="29" dataDxfId="3910"/>
    <tableColumn id="30" name="30" dataDxfId="3909"/>
    <tableColumn id="31" name="31" dataDxfId="3908"/>
  </tableColumns>
  <tableStyleInfo name="TableStyleMedium9" showFirstColumn="0" showLastColumn="0" showRowStripes="1" showColumnStripes="0"/>
</table>
</file>

<file path=xl/tables/table249.xml><?xml version="1.0" encoding="utf-8"?>
<table xmlns="http://schemas.openxmlformats.org/spreadsheetml/2006/main" id="223" name="Tabela33064224" displayName="Tabela33064224" ref="I51:AM66" totalsRowShown="0" headerRowDxfId="3907">
  <autoFilter ref="I51:AM6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906"/>
    <tableColumn id="2" name="2" dataDxfId="3905"/>
    <tableColumn id="3" name="3" dataDxfId="3904"/>
    <tableColumn id="4" name="4" dataDxfId="3903"/>
    <tableColumn id="5" name="5" dataDxfId="3902"/>
    <tableColumn id="6" name="6" dataDxfId="3901"/>
    <tableColumn id="7" name="7" dataDxfId="3900"/>
    <tableColumn id="8" name="8" dataDxfId="3899"/>
    <tableColumn id="9" name="9" dataDxfId="3898"/>
    <tableColumn id="10" name="10" dataDxfId="3897"/>
    <tableColumn id="11" name="11" dataDxfId="3896"/>
    <tableColumn id="12" name="12" dataDxfId="3895"/>
    <tableColumn id="13" name="13" dataDxfId="3894"/>
    <tableColumn id="14" name="14" dataDxfId="3893"/>
    <tableColumn id="15" name="15" dataDxfId="3892"/>
    <tableColumn id="16" name="16" dataDxfId="3891"/>
    <tableColumn id="17" name="17" dataDxfId="3890"/>
    <tableColumn id="18" name="18" dataDxfId="3889"/>
    <tableColumn id="19" name="19" dataDxfId="3888"/>
    <tableColumn id="20" name="20" dataDxfId="3887"/>
    <tableColumn id="21" name="21" dataDxfId="3886"/>
    <tableColumn id="22" name="22" dataDxfId="3885"/>
    <tableColumn id="23" name="23" dataDxfId="3884"/>
    <tableColumn id="24" name="24" dataDxfId="3883"/>
    <tableColumn id="25" name="25" dataDxfId="3882"/>
    <tableColumn id="26" name="26" dataDxfId="3881"/>
    <tableColumn id="27" name="27" dataDxfId="3880"/>
    <tableColumn id="28" name="28" dataDxfId="3879"/>
    <tableColumn id="29" name="29" dataDxfId="3878"/>
    <tableColumn id="30" name="30" dataDxfId="3877"/>
    <tableColumn id="31" name="31" dataDxfId="3876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8" name="Tabela28" displayName="Tabela28" ref="I146:AM152" totalsRowShown="0" headerRowDxfId="7938" dataDxfId="7936" headerRowBorderDxfId="7937">
  <autoFilter ref="I146:AM15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935"/>
    <tableColumn id="2" name="2" dataDxfId="7934"/>
    <tableColumn id="3" name="3" dataDxfId="7933"/>
    <tableColumn id="4" name="4" dataDxfId="7932"/>
    <tableColumn id="5" name="5" dataDxfId="7931"/>
    <tableColumn id="6" name="6" dataDxfId="7930"/>
    <tableColumn id="7" name="7" dataDxfId="7929"/>
    <tableColumn id="8" name="8" dataDxfId="7928"/>
    <tableColumn id="9" name="9" dataDxfId="7927"/>
    <tableColumn id="10" name="10" dataDxfId="7926"/>
    <tableColumn id="11" name="11" dataDxfId="7925"/>
    <tableColumn id="12" name="12" dataDxfId="7924"/>
    <tableColumn id="13" name="13" dataDxfId="7923"/>
    <tableColumn id="14" name="14" dataDxfId="7922"/>
    <tableColumn id="15" name="15" dataDxfId="7921"/>
    <tableColumn id="16" name="16" dataDxfId="7920"/>
    <tableColumn id="17" name="17" dataDxfId="7919"/>
    <tableColumn id="18" name="18" dataDxfId="7918"/>
    <tableColumn id="19" name="19" dataDxfId="7917"/>
    <tableColumn id="20" name="20" dataDxfId="7916"/>
    <tableColumn id="21" name="21" dataDxfId="7915"/>
    <tableColumn id="22" name="22" dataDxfId="7914"/>
    <tableColumn id="23" name="23" dataDxfId="7913"/>
    <tableColumn id="24" name="24" dataDxfId="7912"/>
    <tableColumn id="25" name="25" dataDxfId="7911"/>
    <tableColumn id="26" name="26" dataDxfId="7910"/>
    <tableColumn id="27" name="27" dataDxfId="7909"/>
    <tableColumn id="28" name="28" dataDxfId="7908"/>
    <tableColumn id="29" name="29" dataDxfId="7907"/>
    <tableColumn id="30" name="30" dataDxfId="7906"/>
    <tableColumn id="31" name="31" dataDxfId="7905"/>
  </tableColumns>
  <tableStyleInfo name="TableStyleMedium9" showFirstColumn="0" showLastColumn="0" showRowStripes="1" showColumnStripes="0"/>
</table>
</file>

<file path=xl/tables/table250.xml><?xml version="1.0" encoding="utf-8"?>
<table xmlns="http://schemas.openxmlformats.org/spreadsheetml/2006/main" id="224" name="Jedzenie2225" displayName="Jedzenie2225" ref="B74:G83" headerRowCount="0" totalsRowShown="0" headerRowDxfId="3875" dataDxfId="3874">
  <tableColumns count="6">
    <tableColumn id="1" name="Kategoria" dataDxfId="3873">
      <calculatedColumnFormula>'Wzorzec kategorii'!B36</calculatedColumnFormula>
    </tableColumn>
    <tableColumn id="2" name="0" headerRowDxfId="3872" dataDxfId="3871"/>
    <tableColumn id="3" name="02" headerRowDxfId="3870" dataDxfId="3869">
      <calculatedColumnFormula>SUM(Tabela330228[#This Row])</calculatedColumnFormula>
    </tableColumn>
    <tableColumn id="4" name="Kolumna4" dataDxfId="3868">
      <calculatedColumnFormula>C74-D74</calculatedColumnFormula>
    </tableColumn>
    <tableColumn id="5" name="Kolumna1" dataDxfId="3867">
      <calculatedColumnFormula>IFERROR(D74/C74,"")</calculatedColumnFormula>
    </tableColumn>
    <tableColumn id="6" name="Kolumna2" dataDxfId="3866"/>
  </tableColumns>
  <tableStyleInfo name="TableStyleLight9" showFirstColumn="0" showLastColumn="0" showRowStripes="1" showColumnStripes="0"/>
</table>
</file>

<file path=xl/tables/table251.xml><?xml version="1.0" encoding="utf-8"?>
<table xmlns="http://schemas.openxmlformats.org/spreadsheetml/2006/main" id="225" name="Transport3226" displayName="Transport3226" ref="B98:G107" headerRowCount="0" totalsRowShown="0">
  <tableColumns count="6">
    <tableColumn id="1" name="Kolumna1" dataDxfId="3865">
      <calculatedColumnFormula>'Wzorzec kategorii'!B60</calculatedColumnFormula>
    </tableColumn>
    <tableColumn id="2" name="Kolumna2" dataDxfId="3864"/>
    <tableColumn id="3" name="Kolumna3" dataDxfId="3863">
      <calculatedColumnFormula>SUM(Tabela1942240[#This Row])</calculatedColumnFormula>
    </tableColumn>
    <tableColumn id="4" name="Kolumna4" dataDxfId="3862">
      <calculatedColumnFormula>C98-D98</calculatedColumnFormula>
    </tableColumn>
    <tableColumn id="5" name="Kolumna5" dataDxfId="3861">
      <calculatedColumnFormula>IFERROR(D98/C98,"")</calculatedColumnFormula>
    </tableColumn>
    <tableColumn id="6" name="Kolumna6" dataDxfId="3860"/>
  </tableColumns>
  <tableStyleInfo name="TableStyleLight9" showFirstColumn="0" showLastColumn="0" showRowStripes="1" showColumnStripes="0"/>
</table>
</file>

<file path=xl/tables/table252.xml><?xml version="1.0" encoding="utf-8"?>
<table xmlns="http://schemas.openxmlformats.org/spreadsheetml/2006/main" id="226" name="Tabela718227" displayName="Tabela718227" ref="B52:G66" headerRowCount="0" totalsRowShown="0" headerRowDxfId="3859" dataDxfId="3858">
  <tableColumns count="6">
    <tableColumn id="1" name="Kolumna1" dataDxfId="3857">
      <calculatedColumnFormula>'Wzorzec kategorii'!B15</calculatedColumnFormula>
    </tableColumn>
    <tableColumn id="2" name="Kolumna2" dataDxfId="3856"/>
    <tableColumn id="3" name="Kolumna3" dataDxfId="3855">
      <calculatedColumnFormula>SUM(Tabela33064256[#This Row])</calculatedColumnFormula>
    </tableColumn>
    <tableColumn id="4" name="Kolumna4" dataDxfId="3854">
      <calculatedColumnFormula>Tabela718227[[#This Row],[Kolumna3]]-Tabela718227[[#This Row],[Kolumna2]]</calculatedColumnFormula>
    </tableColumn>
    <tableColumn id="5" name="Kolumna5" dataDxfId="3853" dataCellStyle="Procentowy">
      <calculatedColumnFormula>IFERROR(D52/C52,"")</calculatedColumnFormula>
    </tableColumn>
    <tableColumn id="6" name="Kolumna6" dataDxfId="3852"/>
  </tableColumns>
  <tableStyleInfo name="TableStyleLight9" showFirstColumn="0" showLastColumn="0" showRowStripes="1" showColumnStripes="0"/>
</table>
</file>

<file path=xl/tables/table253.xml><?xml version="1.0" encoding="utf-8"?>
<table xmlns="http://schemas.openxmlformats.org/spreadsheetml/2006/main" id="227" name="Tabela330228" displayName="Tabela330228" ref="I73:AM83" totalsRowShown="0" headerRowDxfId="3851">
  <autoFilter ref="I73:AM8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850"/>
    <tableColumn id="2" name="2" dataDxfId="3849"/>
    <tableColumn id="3" name="3" dataDxfId="3848"/>
    <tableColumn id="4" name="4" dataDxfId="3847"/>
    <tableColumn id="5" name="5" dataDxfId="3846"/>
    <tableColumn id="6" name="6" dataDxfId="3845"/>
    <tableColumn id="7" name="7" dataDxfId="3844"/>
    <tableColumn id="8" name="8" dataDxfId="3843"/>
    <tableColumn id="9" name="9" dataDxfId="3842"/>
    <tableColumn id="10" name="10" dataDxfId="3841"/>
    <tableColumn id="11" name="11" dataDxfId="3840"/>
    <tableColumn id="12" name="12" dataDxfId="3839"/>
    <tableColumn id="13" name="13" dataDxfId="3838"/>
    <tableColumn id="14" name="14" dataDxfId="3837"/>
    <tableColumn id="15" name="15" dataDxfId="3836"/>
    <tableColumn id="16" name="16" dataDxfId="3835"/>
    <tableColumn id="17" name="17" dataDxfId="3834"/>
    <tableColumn id="18" name="18" dataDxfId="3833"/>
    <tableColumn id="19" name="19" dataDxfId="3832"/>
    <tableColumn id="20" name="20" dataDxfId="3831"/>
    <tableColumn id="21" name="21" dataDxfId="3830"/>
    <tableColumn id="22" name="22" dataDxfId="3829"/>
    <tableColumn id="23" name="23" dataDxfId="3828"/>
    <tableColumn id="24" name="24" dataDxfId="3827"/>
    <tableColumn id="25" name="25" dataDxfId="3826"/>
    <tableColumn id="26" name="26" dataDxfId="3825"/>
    <tableColumn id="27" name="27" dataDxfId="3824"/>
    <tableColumn id="28" name="28" dataDxfId="3823"/>
    <tableColumn id="29" name="29" dataDxfId="3822"/>
    <tableColumn id="30" name="30" dataDxfId="3821"/>
    <tableColumn id="31" name="31" dataDxfId="3820"/>
  </tableColumns>
  <tableStyleInfo name="TableStyleMedium9" showFirstColumn="0" showLastColumn="0" showRowStripes="1" showColumnStripes="0"/>
</table>
</file>

<file path=xl/tables/table254.xml><?xml version="1.0" encoding="utf-8"?>
<table xmlns="http://schemas.openxmlformats.org/spreadsheetml/2006/main" id="228" name="Tabela431229" displayName="Tabela431229" ref="B86:G95" headerRowCount="0" totalsRowShown="0" headerRowDxfId="3819">
  <tableColumns count="6">
    <tableColumn id="1" name="Kolumna1" dataDxfId="3818">
      <calculatedColumnFormula>'Wzorzec kategorii'!B48</calculatedColumnFormula>
    </tableColumn>
    <tableColumn id="2" name="Kolumna2" headerRowDxfId="3817" dataDxfId="3816"/>
    <tableColumn id="3" name="Kolumna3" headerRowDxfId="3815" dataDxfId="3814">
      <calculatedColumnFormula>SUM(Tabela1841239[#This Row])</calculatedColumnFormula>
    </tableColumn>
    <tableColumn id="4" name="Kolumna4" headerRowDxfId="3813" dataDxfId="3812">
      <calculatedColumnFormula>C86-D86</calculatedColumnFormula>
    </tableColumn>
    <tableColumn id="5" name="Kolumna5" headerRowDxfId="3811" dataDxfId="3810">
      <calculatedColumnFormula>IFERROR(D86/C86,"")</calculatedColumnFormula>
    </tableColumn>
    <tableColumn id="6" name="Kolumna6" headerRowDxfId="3809" dataDxfId="3808"/>
  </tableColumns>
  <tableStyleInfo name="TableStyleLight9" showFirstColumn="0" showLastColumn="0" showRowStripes="1" showColumnStripes="0"/>
</table>
</file>

<file path=xl/tables/table255.xml><?xml version="1.0" encoding="utf-8"?>
<table xmlns="http://schemas.openxmlformats.org/spreadsheetml/2006/main" id="229" name="Tabela832230" displayName="Tabela832230" ref="B110:G119" headerRowCount="0" totalsRowShown="0">
  <tableColumns count="6">
    <tableColumn id="1" name="Kolumna1" headerRowDxfId="3807" dataDxfId="3806">
      <calculatedColumnFormula>'Wzorzec kategorii'!B72</calculatedColumnFormula>
    </tableColumn>
    <tableColumn id="2" name="Kolumna2" dataDxfId="3805"/>
    <tableColumn id="3" name="Kolumna3" dataDxfId="3804">
      <calculatedColumnFormula>SUM(Tabela192143241[#This Row])</calculatedColumnFormula>
    </tableColumn>
    <tableColumn id="4" name="Kolumna4" dataDxfId="3803">
      <calculatedColumnFormula>C110-D110</calculatedColumnFormula>
    </tableColumn>
    <tableColumn id="5" name="Kolumna5" dataDxfId="3802">
      <calculatedColumnFormula>IFERROR(D110/C110,"")</calculatedColumnFormula>
    </tableColumn>
    <tableColumn id="6" name="Kolumna6" dataDxfId="3801"/>
  </tableColumns>
  <tableStyleInfo name="TableStyleLight9" showFirstColumn="0" showLastColumn="0" showRowStripes="1" showColumnStripes="0"/>
</table>
</file>

<file path=xl/tables/table256.xml><?xml version="1.0" encoding="utf-8"?>
<table xmlns="http://schemas.openxmlformats.org/spreadsheetml/2006/main" id="230" name="Tabela933231" displayName="Tabela933231" ref="B122:G131" headerRowCount="0" totalsRowShown="0">
  <tableColumns count="6">
    <tableColumn id="1" name="Kolumna1" headerRowDxfId="3800" dataDxfId="3799">
      <calculatedColumnFormula>'Wzorzec kategorii'!B84</calculatedColumnFormula>
    </tableColumn>
    <tableColumn id="2" name="Kolumna2" dataDxfId="3798"/>
    <tableColumn id="3" name="Kolumna3" dataDxfId="3797">
      <calculatedColumnFormula>SUM(Tabela19212547245[#This Row])</calculatedColumnFormula>
    </tableColumn>
    <tableColumn id="4" name="Kolumna4" dataDxfId="3796">
      <calculatedColumnFormula>C122-D122</calculatedColumnFormula>
    </tableColumn>
    <tableColumn id="5" name="Kolumna5" dataDxfId="3795">
      <calculatedColumnFormula>IFERROR(D122/C122,"")</calculatedColumnFormula>
    </tableColumn>
    <tableColumn id="6" name="Kolumna6" dataDxfId="3794"/>
  </tableColumns>
  <tableStyleInfo name="TableStyleLight9" showFirstColumn="0" showLastColumn="0" showRowStripes="1" showColumnStripes="0"/>
</table>
</file>

<file path=xl/tables/table257.xml><?xml version="1.0" encoding="utf-8"?>
<table xmlns="http://schemas.openxmlformats.org/spreadsheetml/2006/main" id="231" name="Tabela1034232" displayName="Tabela1034232" ref="B134:G143" headerRowCount="0" totalsRowShown="0">
  <tableColumns count="6">
    <tableColumn id="1" name="Kolumna1" headerRowDxfId="3793" dataDxfId="3792">
      <calculatedColumnFormula>'Wzorzec kategorii'!B96</calculatedColumnFormula>
    </tableColumn>
    <tableColumn id="2" name="Kolumna2" dataDxfId="3791"/>
    <tableColumn id="3" name="Kolumna3" dataDxfId="3790">
      <calculatedColumnFormula>SUM(Tabela19212446244[#This Row])</calculatedColumnFormula>
    </tableColumn>
    <tableColumn id="4" name="Kolumna4" dataDxfId="3789">
      <calculatedColumnFormula>C134-D134</calculatedColumnFormula>
    </tableColumn>
    <tableColumn id="5" name="Kolumna5" dataDxfId="3788">
      <calculatedColumnFormula>IFERROR(D134/C134,"")</calculatedColumnFormula>
    </tableColumn>
    <tableColumn id="6" name="Kolumna6" dataDxfId="3787"/>
  </tableColumns>
  <tableStyleInfo name="TableStyleLight9" showFirstColumn="0" showLastColumn="0" showRowStripes="1" showColumnStripes="0"/>
</table>
</file>

<file path=xl/tables/table258.xml><?xml version="1.0" encoding="utf-8"?>
<table xmlns="http://schemas.openxmlformats.org/spreadsheetml/2006/main" id="232" name="Tabela1135233" displayName="Tabela1135233" ref="B146:G155" headerRowCount="0" totalsRowShown="0">
  <tableColumns count="6">
    <tableColumn id="1" name="Kolumna1" dataDxfId="3786">
      <calculatedColumnFormula>'Wzorzec kategorii'!B108</calculatedColumnFormula>
    </tableColumn>
    <tableColumn id="2" name="Kolumna2" dataDxfId="3785"/>
    <tableColumn id="3" name="Kolumna3" dataDxfId="3784">
      <calculatedColumnFormula>SUM(Tabela192244242[#This Row])</calculatedColumnFormula>
    </tableColumn>
    <tableColumn id="4" name="Kolumna4" dataDxfId="3783">
      <calculatedColumnFormula>C146-D146</calculatedColumnFormula>
    </tableColumn>
    <tableColumn id="5" name="Kolumna5" dataDxfId="3782">
      <calculatedColumnFormula>IFERROR(D146/C146,"")</calculatedColumnFormula>
    </tableColumn>
    <tableColumn id="6" name="Kolumna6" dataDxfId="3781"/>
  </tableColumns>
  <tableStyleInfo name="TableStyleLight9" showFirstColumn="0" showLastColumn="0" showRowStripes="1" showColumnStripes="0"/>
</table>
</file>

<file path=xl/tables/table259.xml><?xml version="1.0" encoding="utf-8"?>
<table xmlns="http://schemas.openxmlformats.org/spreadsheetml/2006/main" id="233" name="Tabela1236234" displayName="Tabela1236234" ref="B158:G167" headerRowCount="0" totalsRowShown="0">
  <tableColumns count="6">
    <tableColumn id="1" name="Kolumna1" dataDxfId="3780">
      <calculatedColumnFormula>'Wzorzec kategorii'!B120</calculatedColumnFormula>
    </tableColumn>
    <tableColumn id="2" name="Kolumna2" dataDxfId="3779"/>
    <tableColumn id="3" name="Kolumna3" dataDxfId="3778">
      <calculatedColumnFormula>SUM(Tabela2548246[#This Row])</calculatedColumnFormula>
    </tableColumn>
    <tableColumn id="4" name="Kolumna4" dataDxfId="3777">
      <calculatedColumnFormula>C158-D158</calculatedColumnFormula>
    </tableColumn>
    <tableColumn id="5" name="Kolumna5" dataDxfId="3776">
      <calculatedColumnFormula>IFERROR(D158/C158,"")</calculatedColumnFormula>
    </tableColumn>
    <tableColumn id="6" name="Kolumna6"/>
  </tableColumns>
  <tableStyleInfo name="TableStyleLight9" showFirstColumn="0" showLastColumn="0" showRowStripes="1" showColumnStripes="0"/>
</table>
</file>

<file path=xl/tables/table26.xml><?xml version="1.0" encoding="utf-8"?>
<table xmlns="http://schemas.openxmlformats.org/spreadsheetml/2006/main" id="351" name="Jedzenie2352" displayName="Jedzenie2352" ref="B36:C45" headerRowCount="0" totalsRowShown="0" headerRowDxfId="7904" dataDxfId="7903">
  <tableColumns count="2">
    <tableColumn id="1" name="Kategoria" dataDxfId="7902"/>
    <tableColumn id="2" name="0" headerRowDxfId="7901" dataDxfId="7900"/>
  </tableColumns>
  <tableStyleInfo name="TableStyleLight9" showFirstColumn="0" showLastColumn="0" showRowStripes="1" showColumnStripes="0"/>
</table>
</file>

<file path=xl/tables/table260.xml><?xml version="1.0" encoding="utf-8"?>
<table xmlns="http://schemas.openxmlformats.org/spreadsheetml/2006/main" id="234" name="Tabela1337235" displayName="Tabela1337235" ref="B170:G179" headerRowCount="0" totalsRowShown="0">
  <tableColumns count="6">
    <tableColumn id="1" name="Kolumna1" dataDxfId="3775">
      <calculatedColumnFormula>'Wzorzec kategorii'!B132</calculatedColumnFormula>
    </tableColumn>
    <tableColumn id="2" name="Kolumna2" dataDxfId="3774"/>
    <tableColumn id="3" name="Kolumna3" dataDxfId="3773">
      <calculatedColumnFormula>SUM(Tabela2649247[#This Row])</calculatedColumnFormula>
    </tableColumn>
    <tableColumn id="4" name="Kolumna4" dataDxfId="3772">
      <calculatedColumnFormula>C170-D170</calculatedColumnFormula>
    </tableColumn>
    <tableColumn id="5" name="Kolumna5" dataDxfId="3771">
      <calculatedColumnFormula>IFERROR(D170/C170,"")</calculatedColumnFormula>
    </tableColumn>
    <tableColumn id="6" name="Kolumna6" dataDxfId="3770"/>
  </tableColumns>
  <tableStyleInfo name="TableStyleLight9" showFirstColumn="0" showLastColumn="0" showRowStripes="1" showColumnStripes="0"/>
</table>
</file>

<file path=xl/tables/table261.xml><?xml version="1.0" encoding="utf-8"?>
<table xmlns="http://schemas.openxmlformats.org/spreadsheetml/2006/main" id="235" name="Tabela1438236" displayName="Tabela1438236" ref="B182:G191" headerRowCount="0" totalsRowShown="0">
  <tableColumns count="6">
    <tableColumn id="1" name="Kolumna1" dataDxfId="3769">
      <calculatedColumnFormula>'Wzorzec kategorii'!B144</calculatedColumnFormula>
    </tableColumn>
    <tableColumn id="2" name="Kolumna2" dataDxfId="3768"/>
    <tableColumn id="3" name="Kolumna3" dataDxfId="3767">
      <calculatedColumnFormula>SUM(Tabela2750248[#This Row])</calculatedColumnFormula>
    </tableColumn>
    <tableColumn id="4" name="Kolumna4" dataDxfId="3766">
      <calculatedColumnFormula>C182-D182</calculatedColumnFormula>
    </tableColumn>
    <tableColumn id="5" name="Kolumna5" dataDxfId="3765">
      <calculatedColumnFormula>IFERROR(D182/C182,"")</calculatedColumnFormula>
    </tableColumn>
    <tableColumn id="6" name="Kolumna6" dataDxfId="3764"/>
  </tableColumns>
  <tableStyleInfo name="TableStyleLight9" showFirstColumn="0" showLastColumn="0" showRowStripes="1" showColumnStripes="0"/>
</table>
</file>

<file path=xl/tables/table262.xml><?xml version="1.0" encoding="utf-8"?>
<table xmlns="http://schemas.openxmlformats.org/spreadsheetml/2006/main" id="236" name="Tabela1539237" displayName="Tabela1539237" ref="B194:G203" headerRowCount="0" totalsRowShown="0">
  <tableColumns count="6">
    <tableColumn id="1" name="Kolumna1" dataDxfId="3763">
      <calculatedColumnFormula>'Wzorzec kategorii'!B156</calculatedColumnFormula>
    </tableColumn>
    <tableColumn id="2" name="Kolumna2" dataDxfId="3762"/>
    <tableColumn id="3" name="Kolumna3" dataDxfId="3761">
      <calculatedColumnFormula>SUM(Tabela2851249[#This Row])</calculatedColumnFormula>
    </tableColumn>
    <tableColumn id="4" name="Kolumna4" dataDxfId="3760">
      <calculatedColumnFormula>C194-D194</calculatedColumnFormula>
    </tableColumn>
    <tableColumn id="5" name="Kolumna5" dataDxfId="3759">
      <calculatedColumnFormula>IFERROR(D194/C194,"")</calculatedColumnFormula>
    </tableColumn>
    <tableColumn id="6" name="Kolumna6" dataDxfId="3758"/>
  </tableColumns>
  <tableStyleInfo name="TableStyleLight9" showFirstColumn="0" showLastColumn="0" showRowStripes="1" showColumnStripes="0"/>
</table>
</file>

<file path=xl/tables/table263.xml><?xml version="1.0" encoding="utf-8"?>
<table xmlns="http://schemas.openxmlformats.org/spreadsheetml/2006/main" id="237" name="Tabela1640238" displayName="Tabela1640238" ref="B206:G215" headerRowCount="0" totalsRowShown="0">
  <tableColumns count="6">
    <tableColumn id="1" name="Kolumna1" dataDxfId="3757">
      <calculatedColumnFormula>'Wzorzec kategorii'!B168</calculatedColumnFormula>
    </tableColumn>
    <tableColumn id="2" name="Kolumna2" dataDxfId="3756"/>
    <tableColumn id="3" name="Kolumna3" dataDxfId="3755">
      <calculatedColumnFormula>SUM(Tabela192345243[#This Row])</calculatedColumnFormula>
    </tableColumn>
    <tableColumn id="4" name="Kolumna4" dataDxfId="3754">
      <calculatedColumnFormula>C206-D206</calculatedColumnFormula>
    </tableColumn>
    <tableColumn id="5" name="Kolumna5" dataDxfId="3753">
      <calculatedColumnFormula>IFERROR(D206/C206,"")</calculatedColumnFormula>
    </tableColumn>
    <tableColumn id="6" name="Kolumna6" dataDxfId="3752"/>
  </tableColumns>
  <tableStyleInfo name="TableStyleLight9" showFirstColumn="0" showLastColumn="0" showRowStripes="1" showColumnStripes="0"/>
</table>
</file>

<file path=xl/tables/table264.xml><?xml version="1.0" encoding="utf-8"?>
<table xmlns="http://schemas.openxmlformats.org/spreadsheetml/2006/main" id="238" name="Tabela1841239" displayName="Tabela1841239" ref="I85:AM95" totalsRowShown="0" headerRowDxfId="3751" dataDxfId="3749" headerRowBorderDxfId="3750">
  <autoFilter ref="I85:AM9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748"/>
    <tableColumn id="2" name="2" dataDxfId="3747"/>
    <tableColumn id="3" name="3" dataDxfId="3746"/>
    <tableColumn id="4" name="4" dataDxfId="3745"/>
    <tableColumn id="5" name="5" dataDxfId="3744"/>
    <tableColumn id="6" name="6" dataDxfId="3743"/>
    <tableColumn id="7" name="7" dataDxfId="3742"/>
    <tableColumn id="8" name="8" dataDxfId="3741"/>
    <tableColumn id="9" name="9" dataDxfId="3740"/>
    <tableColumn id="10" name="10" dataDxfId="3739"/>
    <tableColumn id="11" name="11" dataDxfId="3738"/>
    <tableColumn id="12" name="12" dataDxfId="3737"/>
    <tableColumn id="13" name="13" dataDxfId="3736"/>
    <tableColumn id="14" name="14" dataDxfId="3735"/>
    <tableColumn id="15" name="15" dataDxfId="3734"/>
    <tableColumn id="16" name="16" dataDxfId="3733"/>
    <tableColumn id="17" name="17" dataDxfId="3732"/>
    <tableColumn id="18" name="18" dataDxfId="3731"/>
    <tableColumn id="19" name="19" dataDxfId="3730"/>
    <tableColumn id="20" name="20" dataDxfId="3729"/>
    <tableColumn id="21" name="21" dataDxfId="3728"/>
    <tableColumn id="22" name="22" dataDxfId="3727"/>
    <tableColumn id="23" name="23" dataDxfId="3726"/>
    <tableColumn id="24" name="24" dataDxfId="3725"/>
    <tableColumn id="25" name="25" dataDxfId="3724"/>
    <tableColumn id="26" name="26" dataDxfId="3723"/>
    <tableColumn id="27" name="27" dataDxfId="3722"/>
    <tableColumn id="28" name="28" dataDxfId="3721"/>
    <tableColumn id="29" name="29" dataDxfId="3720"/>
    <tableColumn id="30" name="30" dataDxfId="3719"/>
    <tableColumn id="31" name="31" dataDxfId="3718"/>
  </tableColumns>
  <tableStyleInfo name="TableStyleMedium9" showFirstColumn="0" showLastColumn="0" showRowStripes="1" showColumnStripes="0"/>
</table>
</file>

<file path=xl/tables/table265.xml><?xml version="1.0" encoding="utf-8"?>
<table xmlns="http://schemas.openxmlformats.org/spreadsheetml/2006/main" id="239" name="Tabela1942240" displayName="Tabela1942240" ref="I97:AM107" totalsRowShown="0" headerRowDxfId="3717" dataDxfId="3715" headerRowBorderDxfId="3716">
  <autoFilter ref="I97:AM10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714"/>
    <tableColumn id="2" name="2" dataDxfId="3713"/>
    <tableColumn id="3" name="3" dataDxfId="3712"/>
    <tableColumn id="4" name="4" dataDxfId="3711"/>
    <tableColumn id="5" name="5" dataDxfId="3710"/>
    <tableColumn id="6" name="6" dataDxfId="3709"/>
    <tableColumn id="7" name="7" dataDxfId="3708"/>
    <tableColumn id="8" name="8" dataDxfId="3707"/>
    <tableColumn id="9" name="9" dataDxfId="3706"/>
    <tableColumn id="10" name="10" dataDxfId="3705"/>
    <tableColumn id="11" name="11" dataDxfId="3704"/>
    <tableColumn id="12" name="12" dataDxfId="3703"/>
    <tableColumn id="13" name="13" dataDxfId="3702"/>
    <tableColumn id="14" name="14" dataDxfId="3701"/>
    <tableColumn id="15" name="15" dataDxfId="3700"/>
    <tableColumn id="16" name="16" dataDxfId="3699"/>
    <tableColumn id="17" name="17" dataDxfId="3698"/>
    <tableColumn id="18" name="18" dataDxfId="3697"/>
    <tableColumn id="19" name="19" dataDxfId="3696"/>
    <tableColumn id="20" name="20" dataDxfId="3695"/>
    <tableColumn id="21" name="21" dataDxfId="3694"/>
    <tableColumn id="22" name="22" dataDxfId="3693"/>
    <tableColumn id="23" name="23" dataDxfId="3692"/>
    <tableColumn id="24" name="24" dataDxfId="3691"/>
    <tableColumn id="25" name="25" dataDxfId="3690"/>
    <tableColumn id="26" name="26" dataDxfId="3689"/>
    <tableColumn id="27" name="27" dataDxfId="3688"/>
    <tableColumn id="28" name="28" dataDxfId="3687"/>
    <tableColumn id="29" name="29" dataDxfId="3686"/>
    <tableColumn id="30" name="30" dataDxfId="3685"/>
    <tableColumn id="31" name="31" dataDxfId="3684"/>
  </tableColumns>
  <tableStyleInfo name="TableStyleMedium9" showFirstColumn="0" showLastColumn="0" showRowStripes="1" showColumnStripes="0"/>
</table>
</file>

<file path=xl/tables/table266.xml><?xml version="1.0" encoding="utf-8"?>
<table xmlns="http://schemas.openxmlformats.org/spreadsheetml/2006/main" id="240" name="Tabela192143241" displayName="Tabela192143241" ref="I109:AM119" totalsRowShown="0" headerRowDxfId="3683" dataDxfId="3681" headerRowBorderDxfId="3682">
  <autoFilter ref="I109:AM1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680"/>
    <tableColumn id="2" name="2" dataDxfId="3679"/>
    <tableColumn id="3" name="3" dataDxfId="3678"/>
    <tableColumn id="4" name="4" dataDxfId="3677"/>
    <tableColumn id="5" name="5" dataDxfId="3676"/>
    <tableColumn id="6" name="6" dataDxfId="3675"/>
    <tableColumn id="7" name="7" dataDxfId="3674"/>
    <tableColumn id="8" name="8" dataDxfId="3673"/>
    <tableColumn id="9" name="9" dataDxfId="3672"/>
    <tableColumn id="10" name="10" dataDxfId="3671"/>
    <tableColumn id="11" name="11" dataDxfId="3670"/>
    <tableColumn id="12" name="12" dataDxfId="3669"/>
    <tableColumn id="13" name="13" dataDxfId="3668"/>
    <tableColumn id="14" name="14" dataDxfId="3667"/>
    <tableColumn id="15" name="15" dataDxfId="3666"/>
    <tableColumn id="16" name="16" dataDxfId="3665"/>
    <tableColumn id="17" name="17" dataDxfId="3664"/>
    <tableColumn id="18" name="18" dataDxfId="3663"/>
    <tableColumn id="19" name="19" dataDxfId="3662"/>
    <tableColumn id="20" name="20" dataDxfId="3661"/>
    <tableColumn id="21" name="21" dataDxfId="3660"/>
    <tableColumn id="22" name="22" dataDxfId="3659"/>
    <tableColumn id="23" name="23" dataDxfId="3658"/>
    <tableColumn id="24" name="24" dataDxfId="3657"/>
    <tableColumn id="25" name="25" dataDxfId="3656"/>
    <tableColumn id="26" name="26" dataDxfId="3655"/>
    <tableColumn id="27" name="27" dataDxfId="3654"/>
    <tableColumn id="28" name="28" dataDxfId="3653"/>
    <tableColumn id="29" name="29" dataDxfId="3652"/>
    <tableColumn id="30" name="30" dataDxfId="3651"/>
    <tableColumn id="31" name="31" dataDxfId="3650"/>
  </tableColumns>
  <tableStyleInfo name="TableStyleMedium9" showFirstColumn="0" showLastColumn="0" showRowStripes="1" showColumnStripes="0"/>
</table>
</file>

<file path=xl/tables/table267.xml><?xml version="1.0" encoding="utf-8"?>
<table xmlns="http://schemas.openxmlformats.org/spreadsheetml/2006/main" id="241" name="Tabela192244242" displayName="Tabela192244242" ref="I145:AM155" totalsRowShown="0" headerRowDxfId="3649" dataDxfId="3647" headerRowBorderDxfId="3648">
  <autoFilter ref="I145:AM1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646"/>
    <tableColumn id="2" name="2" dataDxfId="3645"/>
    <tableColumn id="3" name="3" dataDxfId="3644"/>
    <tableColumn id="4" name="4" dataDxfId="3643"/>
    <tableColumn id="5" name="5" dataDxfId="3642"/>
    <tableColumn id="6" name="6" dataDxfId="3641"/>
    <tableColumn id="7" name="7" dataDxfId="3640"/>
    <tableColumn id="8" name="8" dataDxfId="3639"/>
    <tableColumn id="9" name="9" dataDxfId="3638"/>
    <tableColumn id="10" name="10" dataDxfId="3637"/>
    <tableColumn id="11" name="11" dataDxfId="3636"/>
    <tableColumn id="12" name="12" dataDxfId="3635"/>
    <tableColumn id="13" name="13" dataDxfId="3634"/>
    <tableColumn id="14" name="14" dataDxfId="3633"/>
    <tableColumn id="15" name="15" dataDxfId="3632"/>
    <tableColumn id="16" name="16" dataDxfId="3631"/>
    <tableColumn id="17" name="17" dataDxfId="3630"/>
    <tableColumn id="18" name="18" dataDxfId="3629"/>
    <tableColumn id="19" name="19" dataDxfId="3628"/>
    <tableColumn id="20" name="20" dataDxfId="3627"/>
    <tableColumn id="21" name="21" dataDxfId="3626"/>
    <tableColumn id="22" name="22" dataDxfId="3625"/>
    <tableColumn id="23" name="23" dataDxfId="3624"/>
    <tableColumn id="24" name="24" dataDxfId="3623"/>
    <tableColumn id="25" name="25" dataDxfId="3622"/>
    <tableColumn id="26" name="26" dataDxfId="3621"/>
    <tableColumn id="27" name="27" dataDxfId="3620"/>
    <tableColumn id="28" name="28" dataDxfId="3619"/>
    <tableColumn id="29" name="29" dataDxfId="3618"/>
    <tableColumn id="30" name="30" dataDxfId="3617"/>
    <tableColumn id="31" name="31" dataDxfId="3616"/>
  </tableColumns>
  <tableStyleInfo name="TableStyleMedium9" showFirstColumn="0" showLastColumn="0" showRowStripes="1" showColumnStripes="0"/>
</table>
</file>

<file path=xl/tables/table268.xml><?xml version="1.0" encoding="utf-8"?>
<table xmlns="http://schemas.openxmlformats.org/spreadsheetml/2006/main" id="242" name="Tabela192345243" displayName="Tabela192345243" ref="I205:AM215" totalsRowShown="0" headerRowDxfId="3615" dataDxfId="3613" headerRowBorderDxfId="3614">
  <autoFilter ref="I205:AM2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612"/>
    <tableColumn id="2" name="2" dataDxfId="3611"/>
    <tableColumn id="3" name="3" dataDxfId="3610"/>
    <tableColumn id="4" name="4" dataDxfId="3609"/>
    <tableColumn id="5" name="5" dataDxfId="3608"/>
    <tableColumn id="6" name="6" dataDxfId="3607"/>
    <tableColumn id="7" name="7" dataDxfId="3606"/>
    <tableColumn id="8" name="8" dataDxfId="3605"/>
    <tableColumn id="9" name="9" dataDxfId="3604"/>
    <tableColumn id="10" name="10" dataDxfId="3603"/>
    <tableColumn id="11" name="11" dataDxfId="3602"/>
    <tableColumn id="12" name="12" dataDxfId="3601"/>
    <tableColumn id="13" name="13" dataDxfId="3600"/>
    <tableColumn id="14" name="14" dataDxfId="3599"/>
    <tableColumn id="15" name="15" dataDxfId="3598"/>
    <tableColumn id="16" name="16" dataDxfId="3597"/>
    <tableColumn id="17" name="17" dataDxfId="3596"/>
    <tableColumn id="18" name="18" dataDxfId="3595"/>
    <tableColumn id="19" name="19" dataDxfId="3594"/>
    <tableColumn id="20" name="20" dataDxfId="3593"/>
    <tableColumn id="21" name="21" dataDxfId="3592"/>
    <tableColumn id="22" name="22" dataDxfId="3591"/>
    <tableColumn id="23" name="23" dataDxfId="3590"/>
    <tableColumn id="24" name="24" dataDxfId="3589"/>
    <tableColumn id="25" name="25" dataDxfId="3588"/>
    <tableColumn id="26" name="26" dataDxfId="3587"/>
    <tableColumn id="27" name="27" dataDxfId="3586"/>
    <tableColumn id="28" name="28" dataDxfId="3585"/>
    <tableColumn id="29" name="29" dataDxfId="3584"/>
    <tableColumn id="30" name="30" dataDxfId="3583"/>
    <tableColumn id="31" name="31" dataDxfId="3582"/>
  </tableColumns>
  <tableStyleInfo name="TableStyleMedium9" showFirstColumn="0" showLastColumn="0" showRowStripes="1" showColumnStripes="0"/>
</table>
</file>

<file path=xl/tables/table269.xml><?xml version="1.0" encoding="utf-8"?>
<table xmlns="http://schemas.openxmlformats.org/spreadsheetml/2006/main" id="243" name="Tabela19212446244" displayName="Tabela19212446244" ref="I133:AM143" totalsRowShown="0" headerRowDxfId="3581" dataDxfId="3579" headerRowBorderDxfId="3580">
  <autoFilter ref="I133:AM1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578"/>
    <tableColumn id="2" name="2" dataDxfId="3577"/>
    <tableColumn id="3" name="3" dataDxfId="3576"/>
    <tableColumn id="4" name="4" dataDxfId="3575"/>
    <tableColumn id="5" name="5" dataDxfId="3574"/>
    <tableColumn id="6" name="6" dataDxfId="3573"/>
    <tableColumn id="7" name="7" dataDxfId="3572"/>
    <tableColumn id="8" name="8" dataDxfId="3571"/>
    <tableColumn id="9" name="9" dataDxfId="3570"/>
    <tableColumn id="10" name="10" dataDxfId="3569"/>
    <tableColumn id="11" name="11" dataDxfId="3568"/>
    <tableColumn id="12" name="12" dataDxfId="3567"/>
    <tableColumn id="13" name="13" dataDxfId="3566"/>
    <tableColumn id="14" name="14" dataDxfId="3565"/>
    <tableColumn id="15" name="15" dataDxfId="3564"/>
    <tableColumn id="16" name="16" dataDxfId="3563"/>
    <tableColumn id="17" name="17" dataDxfId="3562"/>
    <tableColumn id="18" name="18" dataDxfId="3561"/>
    <tableColumn id="19" name="19" dataDxfId="3560"/>
    <tableColumn id="20" name="20" dataDxfId="3559"/>
    <tableColumn id="21" name="21" dataDxfId="3558"/>
    <tableColumn id="22" name="22" dataDxfId="3557"/>
    <tableColumn id="23" name="23" dataDxfId="3556"/>
    <tableColumn id="24" name="24" dataDxfId="3555"/>
    <tableColumn id="25" name="25" dataDxfId="3554"/>
    <tableColumn id="26" name="26" dataDxfId="3553"/>
    <tableColumn id="27" name="27" dataDxfId="3552"/>
    <tableColumn id="28" name="28" dataDxfId="3551"/>
    <tableColumn id="29" name="29" dataDxfId="3550"/>
    <tableColumn id="30" name="30" dataDxfId="3549"/>
    <tableColumn id="31" name="31" dataDxfId="3548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id="352" name="Transport3353" displayName="Transport3353" ref="B60:C69" headerRowCount="0" totalsRowShown="0">
  <tableColumns count="2">
    <tableColumn id="1" name="Kolumna1" dataDxfId="7899"/>
    <tableColumn id="2" name="Kolumna2" dataDxfId="7898"/>
  </tableColumns>
  <tableStyleInfo name="TableStyleLight9" showFirstColumn="0" showLastColumn="0" showRowStripes="1" showColumnStripes="0"/>
</table>
</file>

<file path=xl/tables/table270.xml><?xml version="1.0" encoding="utf-8"?>
<table xmlns="http://schemas.openxmlformats.org/spreadsheetml/2006/main" id="244" name="Tabela19212547245" displayName="Tabela19212547245" ref="I121:AM131" totalsRowShown="0" headerRowDxfId="3547" dataDxfId="3545" headerRowBorderDxfId="3546">
  <autoFilter ref="I121:AM1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544"/>
    <tableColumn id="2" name="2" dataDxfId="3543"/>
    <tableColumn id="3" name="3" dataDxfId="3542"/>
    <tableColumn id="4" name="4" dataDxfId="3541"/>
    <tableColumn id="5" name="5" dataDxfId="3540"/>
    <tableColumn id="6" name="6" dataDxfId="3539"/>
    <tableColumn id="7" name="7" dataDxfId="3538"/>
    <tableColumn id="8" name="8" dataDxfId="3537"/>
    <tableColumn id="9" name="9" dataDxfId="3536"/>
    <tableColumn id="10" name="10" dataDxfId="3535"/>
    <tableColumn id="11" name="11" dataDxfId="3534"/>
    <tableColumn id="12" name="12" dataDxfId="3533"/>
    <tableColumn id="13" name="13" dataDxfId="3532"/>
    <tableColumn id="14" name="14" dataDxfId="3531"/>
    <tableColumn id="15" name="15" dataDxfId="3530"/>
    <tableColumn id="16" name="16" dataDxfId="3529"/>
    <tableColumn id="17" name="17" dataDxfId="3528"/>
    <tableColumn id="18" name="18" dataDxfId="3527"/>
    <tableColumn id="19" name="19" dataDxfId="3526"/>
    <tableColumn id="20" name="20" dataDxfId="3525"/>
    <tableColumn id="21" name="21" dataDxfId="3524"/>
    <tableColumn id="22" name="22" dataDxfId="3523"/>
    <tableColumn id="23" name="23" dataDxfId="3522"/>
    <tableColumn id="24" name="24" dataDxfId="3521"/>
    <tableColumn id="25" name="25" dataDxfId="3520"/>
    <tableColumn id="26" name="26" dataDxfId="3519"/>
    <tableColumn id="27" name="27" dataDxfId="3518"/>
    <tableColumn id="28" name="28" dataDxfId="3517"/>
    <tableColumn id="29" name="29" dataDxfId="3516"/>
    <tableColumn id="30" name="30" dataDxfId="3515"/>
    <tableColumn id="31" name="31" dataDxfId="3514"/>
  </tableColumns>
  <tableStyleInfo name="TableStyleMedium9" showFirstColumn="0" showLastColumn="0" showRowStripes="1" showColumnStripes="0"/>
</table>
</file>

<file path=xl/tables/table271.xml><?xml version="1.0" encoding="utf-8"?>
<table xmlns="http://schemas.openxmlformats.org/spreadsheetml/2006/main" id="245" name="Tabela2548246" displayName="Tabela2548246" ref="I157:AM167" totalsRowShown="0" headerRowDxfId="3513" dataDxfId="3512">
  <autoFilter ref="I157:AM1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511"/>
    <tableColumn id="2" name="2" dataDxfId="3510"/>
    <tableColumn id="3" name="3" dataDxfId="3509"/>
    <tableColumn id="4" name="4" dataDxfId="3508"/>
    <tableColumn id="5" name="5" dataDxfId="3507"/>
    <tableColumn id="6" name="6" dataDxfId="3506"/>
    <tableColumn id="7" name="7" dataDxfId="3505"/>
    <tableColumn id="8" name="8" dataDxfId="3504"/>
    <tableColumn id="9" name="9" dataDxfId="3503"/>
    <tableColumn id="10" name="10" dataDxfId="3502"/>
    <tableColumn id="11" name="11" dataDxfId="3501"/>
    <tableColumn id="12" name="12" dataDxfId="3500"/>
    <tableColumn id="13" name="13" dataDxfId="3499"/>
    <tableColumn id="14" name="14" dataDxfId="3498"/>
    <tableColumn id="15" name="15" dataDxfId="3497"/>
    <tableColumn id="16" name="16" dataDxfId="3496"/>
    <tableColumn id="17" name="17" dataDxfId="3495"/>
    <tableColumn id="18" name="18" dataDxfId="3494"/>
    <tableColumn id="19" name="19" dataDxfId="3493"/>
    <tableColumn id="20" name="20" dataDxfId="3492"/>
    <tableColumn id="21" name="21" dataDxfId="3491"/>
    <tableColumn id="22" name="22" dataDxfId="3490"/>
    <tableColumn id="23" name="23" dataDxfId="3489"/>
    <tableColumn id="24" name="24" dataDxfId="3488"/>
    <tableColumn id="25" name="25" dataDxfId="3487"/>
    <tableColumn id="26" name="26" dataDxfId="3486"/>
    <tableColumn id="27" name="27" dataDxfId="3485"/>
    <tableColumn id="28" name="28" dataDxfId="3484"/>
    <tableColumn id="29" name="29" dataDxfId="3483"/>
    <tableColumn id="30" name="30" dataDxfId="3482"/>
    <tableColumn id="31" name="31" dataDxfId="3481"/>
  </tableColumns>
  <tableStyleInfo name="TableStyleMedium9" showFirstColumn="0" showLastColumn="0" showRowStripes="1" showColumnStripes="0"/>
</table>
</file>

<file path=xl/tables/table272.xml><?xml version="1.0" encoding="utf-8"?>
<table xmlns="http://schemas.openxmlformats.org/spreadsheetml/2006/main" id="246" name="Tabela2649247" displayName="Tabela2649247" ref="I169:AM179" totalsRowShown="0" headerRowDxfId="3480" headerRowBorderDxfId="3479">
  <autoFilter ref="I169:AM1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478"/>
    <tableColumn id="2" name="2" dataDxfId="3477"/>
    <tableColumn id="3" name="3" dataDxfId="3476"/>
    <tableColumn id="4" name="4" dataDxfId="3475"/>
    <tableColumn id="5" name="5" dataDxfId="3474"/>
    <tableColumn id="6" name="6" dataDxfId="3473"/>
    <tableColumn id="7" name="7" dataDxfId="3472"/>
    <tableColumn id="8" name="8" dataDxfId="3471"/>
    <tableColumn id="9" name="9" dataDxfId="3470"/>
    <tableColumn id="10" name="10" dataDxfId="3469"/>
    <tableColumn id="11" name="11" dataDxfId="3468"/>
    <tableColumn id="12" name="12" dataDxfId="3467"/>
    <tableColumn id="13" name="13" dataDxfId="3466"/>
    <tableColumn id="14" name="14" dataDxfId="3465"/>
    <tableColumn id="15" name="15" dataDxfId="3464"/>
    <tableColumn id="16" name="16" dataDxfId="3463"/>
    <tableColumn id="17" name="17" dataDxfId="3462"/>
    <tableColumn id="18" name="18" dataDxfId="3461"/>
    <tableColumn id="19" name="19" dataDxfId="3460"/>
    <tableColumn id="20" name="20" dataDxfId="3459"/>
    <tableColumn id="21" name="21" dataDxfId="3458"/>
    <tableColumn id="22" name="22" dataDxfId="3457"/>
    <tableColumn id="23" name="23" dataDxfId="3456"/>
    <tableColumn id="24" name="24" dataDxfId="3455"/>
    <tableColumn id="25" name="25" dataDxfId="3454"/>
    <tableColumn id="26" name="26" dataDxfId="3453"/>
    <tableColumn id="27" name="27" dataDxfId="3452"/>
    <tableColumn id="28" name="28" dataDxfId="3451"/>
    <tableColumn id="29" name="29" dataDxfId="3450"/>
    <tableColumn id="30" name="30" dataDxfId="3449"/>
    <tableColumn id="31" name="31" dataDxfId="3448"/>
  </tableColumns>
  <tableStyleInfo name="TableStyleMedium9" showFirstColumn="0" showLastColumn="0" showRowStripes="1" showColumnStripes="0"/>
</table>
</file>

<file path=xl/tables/table273.xml><?xml version="1.0" encoding="utf-8"?>
<table xmlns="http://schemas.openxmlformats.org/spreadsheetml/2006/main" id="247" name="Tabela2750248" displayName="Tabela2750248" ref="I181:AM191" totalsRowShown="0" headerRowDxfId="3447">
  <autoFilter ref="I181:AM19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446"/>
    <tableColumn id="2" name="2" dataDxfId="3445"/>
    <tableColumn id="3" name="3" dataDxfId="3444"/>
    <tableColumn id="4" name="4" dataDxfId="3443"/>
    <tableColumn id="5" name="5" dataDxfId="3442"/>
    <tableColumn id="6" name="6" dataDxfId="3441"/>
    <tableColumn id="7" name="7" dataDxfId="3440"/>
    <tableColumn id="8" name="8" dataDxfId="3439"/>
    <tableColumn id="9" name="9" dataDxfId="3438"/>
    <tableColumn id="10" name="10" dataDxfId="3437"/>
    <tableColumn id="11" name="11" dataDxfId="3436"/>
    <tableColumn id="12" name="12" dataDxfId="3435"/>
    <tableColumn id="13" name="13" dataDxfId="3434"/>
    <tableColumn id="14" name="14" dataDxfId="3433"/>
    <tableColumn id="15" name="15" dataDxfId="3432"/>
    <tableColumn id="16" name="16" dataDxfId="3431"/>
    <tableColumn id="17" name="17" dataDxfId="3430"/>
    <tableColumn id="18" name="18" dataDxfId="3429"/>
    <tableColumn id="19" name="19" dataDxfId="3428"/>
    <tableColumn id="20" name="20" dataDxfId="3427"/>
    <tableColumn id="21" name="21" dataDxfId="3426"/>
    <tableColumn id="22" name="22" dataDxfId="3425"/>
    <tableColumn id="23" name="23" dataDxfId="3424"/>
    <tableColumn id="24" name="24" dataDxfId="3423"/>
    <tableColumn id="25" name="25" dataDxfId="3422"/>
    <tableColumn id="26" name="26" dataDxfId="3421"/>
    <tableColumn id="27" name="27" dataDxfId="3420"/>
    <tableColumn id="28" name="28" dataDxfId="3419"/>
    <tableColumn id="29" name="29" dataDxfId="3418"/>
    <tableColumn id="30" name="30" dataDxfId="3417"/>
    <tableColumn id="31" name="31" dataDxfId="3416"/>
  </tableColumns>
  <tableStyleInfo name="TableStyleMedium9" showFirstColumn="0" showLastColumn="0" showRowStripes="1" showColumnStripes="0"/>
</table>
</file>

<file path=xl/tables/table274.xml><?xml version="1.0" encoding="utf-8"?>
<table xmlns="http://schemas.openxmlformats.org/spreadsheetml/2006/main" id="248" name="Tabela2851249" displayName="Tabela2851249" ref="I193:AM203" totalsRowShown="0" headerRowDxfId="3415" dataDxfId="3413" headerRowBorderDxfId="3414">
  <autoFilter ref="I193:AM20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412"/>
    <tableColumn id="2" name="2" dataDxfId="3411"/>
    <tableColumn id="3" name="3" dataDxfId="3410"/>
    <tableColumn id="4" name="4" dataDxfId="3409"/>
    <tableColumn id="5" name="5" dataDxfId="3408"/>
    <tableColumn id="6" name="6" dataDxfId="3407"/>
    <tableColumn id="7" name="7" dataDxfId="3406"/>
    <tableColumn id="8" name="8" dataDxfId="3405"/>
    <tableColumn id="9" name="9" dataDxfId="3404"/>
    <tableColumn id="10" name="10" dataDxfId="3403"/>
    <tableColumn id="11" name="11" dataDxfId="3402"/>
    <tableColumn id="12" name="12" dataDxfId="3401"/>
    <tableColumn id="13" name="13" dataDxfId="3400"/>
    <tableColumn id="14" name="14" dataDxfId="3399"/>
    <tableColumn id="15" name="15" dataDxfId="3398"/>
    <tableColumn id="16" name="16" dataDxfId="3397"/>
    <tableColumn id="17" name="17" dataDxfId="3396"/>
    <tableColumn id="18" name="18" dataDxfId="3395"/>
    <tableColumn id="19" name="19" dataDxfId="3394"/>
    <tableColumn id="20" name="20" dataDxfId="3393"/>
    <tableColumn id="21" name="21" dataDxfId="3392"/>
    <tableColumn id="22" name="22" dataDxfId="3391"/>
    <tableColumn id="23" name="23" dataDxfId="3390"/>
    <tableColumn id="24" name="24" dataDxfId="3389"/>
    <tableColumn id="25" name="25" dataDxfId="3388"/>
    <tableColumn id="26" name="26" dataDxfId="3387"/>
    <tableColumn id="27" name="27" dataDxfId="3386"/>
    <tableColumn id="28" name="28" dataDxfId="3385"/>
    <tableColumn id="29" name="29" dataDxfId="3384"/>
    <tableColumn id="30" name="30" dataDxfId="3383"/>
    <tableColumn id="31" name="31" dataDxfId="3382"/>
  </tableColumns>
  <tableStyleInfo name="TableStyleMedium9" showFirstColumn="0" showLastColumn="0" showRowStripes="1" showColumnStripes="0"/>
</table>
</file>

<file path=xl/tables/table275.xml><?xml version="1.0" encoding="utf-8"?>
<table xmlns="http://schemas.openxmlformats.org/spreadsheetml/2006/main" id="249" name="Tabela164058250" displayName="Tabela164058250" ref="B218:G227" headerRowCount="0" totalsRowShown="0">
  <tableColumns count="6">
    <tableColumn id="1" name="Kolumna1" dataDxfId="3381">
      <calculatedColumnFormula>'Wzorzec kategorii'!B180</calculatedColumnFormula>
    </tableColumn>
    <tableColumn id="2" name="Kolumna2" dataDxfId="3380"/>
    <tableColumn id="3" name="Kolumna3" dataDxfId="3379">
      <calculatedColumnFormula>SUM(Tabela19234559251[#This Row])</calculatedColumnFormula>
    </tableColumn>
    <tableColumn id="4" name="Kolumna4" dataDxfId="3378">
      <calculatedColumnFormula>C218-D218</calculatedColumnFormula>
    </tableColumn>
    <tableColumn id="5" name="Kolumna5" dataDxfId="3377">
      <calculatedColumnFormula>IFERROR(D218/C218,"")</calculatedColumnFormula>
    </tableColumn>
    <tableColumn id="6" name="Kolumna6" dataDxfId="3376"/>
  </tableColumns>
  <tableStyleInfo name="TableStyleLight9" showFirstColumn="0" showLastColumn="0" showRowStripes="1" showColumnStripes="0"/>
</table>
</file>

<file path=xl/tables/table276.xml><?xml version="1.0" encoding="utf-8"?>
<table xmlns="http://schemas.openxmlformats.org/spreadsheetml/2006/main" id="250" name="Tabela19234559251" displayName="Tabela19234559251" ref="I217:AM227" totalsRowShown="0" headerRowDxfId="3375" dataDxfId="3373" headerRowBorderDxfId="3374">
  <autoFilter ref="I217:AM2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372"/>
    <tableColumn id="2" name="2" dataDxfId="3371"/>
    <tableColumn id="3" name="3" dataDxfId="3370"/>
    <tableColumn id="4" name="4" dataDxfId="3369"/>
    <tableColumn id="5" name="5" dataDxfId="3368"/>
    <tableColumn id="6" name="6" dataDxfId="3367"/>
    <tableColumn id="7" name="7" dataDxfId="3366"/>
    <tableColumn id="8" name="8" dataDxfId="3365"/>
    <tableColumn id="9" name="9" dataDxfId="3364"/>
    <tableColumn id="10" name="10" dataDxfId="3363"/>
    <tableColumn id="11" name="11" dataDxfId="3362"/>
    <tableColumn id="12" name="12" dataDxfId="3361"/>
    <tableColumn id="13" name="13" dataDxfId="3360"/>
    <tableColumn id="14" name="14" dataDxfId="3359"/>
    <tableColumn id="15" name="15" dataDxfId="3358"/>
    <tableColumn id="16" name="16" dataDxfId="3357"/>
    <tableColumn id="17" name="17" dataDxfId="3356"/>
    <tableColumn id="18" name="18" dataDxfId="3355"/>
    <tableColumn id="19" name="19" dataDxfId="3354"/>
    <tableColumn id="20" name="20" dataDxfId="3353"/>
    <tableColumn id="21" name="21" dataDxfId="3352"/>
    <tableColumn id="22" name="22" dataDxfId="3351"/>
    <tableColumn id="23" name="23" dataDxfId="3350"/>
    <tableColumn id="24" name="24" dataDxfId="3349"/>
    <tableColumn id="25" name="25" dataDxfId="3348"/>
    <tableColumn id="26" name="26" dataDxfId="3347"/>
    <tableColumn id="27" name="27" dataDxfId="3346"/>
    <tableColumn id="28" name="28" dataDxfId="3345"/>
    <tableColumn id="29" name="29" dataDxfId="3344"/>
    <tableColumn id="30" name="30" dataDxfId="3343"/>
    <tableColumn id="31" name="31" dataDxfId="3342"/>
  </tableColumns>
  <tableStyleInfo name="TableStyleMedium9" showFirstColumn="0" showLastColumn="0" showRowStripes="1" showColumnStripes="0"/>
</table>
</file>

<file path=xl/tables/table277.xml><?xml version="1.0" encoding="utf-8"?>
<table xmlns="http://schemas.openxmlformats.org/spreadsheetml/2006/main" id="251" name="Tabela16405860252" displayName="Tabela16405860252" ref="B230:G239" headerRowCount="0" totalsRowShown="0">
  <tableColumns count="6">
    <tableColumn id="1" name="Kolumna1" dataDxfId="3341">
      <calculatedColumnFormula>'Wzorzec kategorii'!B192</calculatedColumnFormula>
    </tableColumn>
    <tableColumn id="2" name="Kolumna2" dataDxfId="3340"/>
    <tableColumn id="3" name="Kolumna3" dataDxfId="3339">
      <calculatedColumnFormula>SUM(Tabela1923455962254[#This Row])</calculatedColumnFormula>
    </tableColumn>
    <tableColumn id="4" name="Kolumna4" dataDxfId="3338">
      <calculatedColumnFormula>C230-D230</calculatedColumnFormula>
    </tableColumn>
    <tableColumn id="5" name="Kolumna5" dataDxfId="3337">
      <calculatedColumnFormula>IFERROR(D230/C230,"")</calculatedColumnFormula>
    </tableColumn>
    <tableColumn id="6" name="Kolumna6" dataDxfId="3336"/>
  </tableColumns>
  <tableStyleInfo name="TableStyleLight9" showFirstColumn="0" showLastColumn="0" showRowStripes="1" showColumnStripes="0"/>
</table>
</file>

<file path=xl/tables/table278.xml><?xml version="1.0" encoding="utf-8"?>
<table xmlns="http://schemas.openxmlformats.org/spreadsheetml/2006/main" id="252" name="Tabela1640586061253" displayName="Tabela1640586061253" ref="B242:G251" headerRowCount="0" totalsRowShown="0">
  <tableColumns count="6">
    <tableColumn id="1" name="Kolumna1" dataDxfId="3335">
      <calculatedColumnFormula>'Wzorzec kategorii'!B204</calculatedColumnFormula>
    </tableColumn>
    <tableColumn id="2" name="Kolumna2" dataDxfId="3334"/>
    <tableColumn id="3" name="Kolumna3" dataDxfId="3333">
      <calculatedColumnFormula>SUM(Tabela1923455963255[#This Row])</calculatedColumnFormula>
    </tableColumn>
    <tableColumn id="4" name="Kolumna4" dataDxfId="3332">
      <calculatedColumnFormula>C242-D242</calculatedColumnFormula>
    </tableColumn>
    <tableColumn id="5" name="Kolumna5" dataDxfId="3331">
      <calculatedColumnFormula>IFERROR(D242/C242,"")</calculatedColumnFormula>
    </tableColumn>
    <tableColumn id="6" name="Kolumna6" dataDxfId="3330"/>
  </tableColumns>
  <tableStyleInfo name="TableStyleLight9" showFirstColumn="0" showLastColumn="0" showRowStripes="1" showColumnStripes="0"/>
</table>
</file>

<file path=xl/tables/table279.xml><?xml version="1.0" encoding="utf-8"?>
<table xmlns="http://schemas.openxmlformats.org/spreadsheetml/2006/main" id="253" name="Tabela1923455962254" displayName="Tabela1923455962254" ref="I229:AM239" totalsRowShown="0" headerRowDxfId="3329" dataDxfId="3327" headerRowBorderDxfId="3328">
  <autoFilter ref="I229:AM2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326"/>
    <tableColumn id="2" name="2" dataDxfId="3325"/>
    <tableColumn id="3" name="3" dataDxfId="3324"/>
    <tableColumn id="4" name="4" dataDxfId="3323"/>
    <tableColumn id="5" name="5" dataDxfId="3322"/>
    <tableColumn id="6" name="6" dataDxfId="3321"/>
    <tableColumn id="7" name="7" dataDxfId="3320"/>
    <tableColumn id="8" name="8" dataDxfId="3319"/>
    <tableColumn id="9" name="9" dataDxfId="3318"/>
    <tableColumn id="10" name="10" dataDxfId="3317"/>
    <tableColumn id="11" name="11" dataDxfId="3316"/>
    <tableColumn id="12" name="12" dataDxfId="3315"/>
    <tableColumn id="13" name="13" dataDxfId="3314"/>
    <tableColumn id="14" name="14" dataDxfId="3313"/>
    <tableColumn id="15" name="15" dataDxfId="3312"/>
    <tableColumn id="16" name="16" dataDxfId="3311"/>
    <tableColumn id="17" name="17" dataDxfId="3310"/>
    <tableColumn id="18" name="18" dataDxfId="3309"/>
    <tableColumn id="19" name="19" dataDxfId="3308"/>
    <tableColumn id="20" name="20" dataDxfId="3307"/>
    <tableColumn id="21" name="21" dataDxfId="3306"/>
    <tableColumn id="22" name="22" dataDxfId="3305"/>
    <tableColumn id="23" name="23" dataDxfId="3304"/>
    <tableColumn id="24" name="24" dataDxfId="3303"/>
    <tableColumn id="25" name="25" dataDxfId="3302"/>
    <tableColumn id="26" name="26" dataDxfId="3301"/>
    <tableColumn id="27" name="27" dataDxfId="3300"/>
    <tableColumn id="28" name="28" dataDxfId="3299"/>
    <tableColumn id="29" name="29" dataDxfId="3298"/>
    <tableColumn id="30" name="30" dataDxfId="3297"/>
    <tableColumn id="31" name="31" dataDxfId="3296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353" name="Tabela718354" displayName="Tabela718354" ref="B15:C29" headerRowCount="0" totalsRowShown="0" headerRowDxfId="7897" dataDxfId="7896">
  <tableColumns count="2">
    <tableColumn id="1" name="Kolumna1" dataDxfId="7895"/>
    <tableColumn id="2" name="Kolumna2" headerRowDxfId="7894" dataDxfId="7893"/>
  </tableColumns>
  <tableStyleInfo name="TableStyleLight9" showFirstColumn="0" showLastColumn="0" showRowStripes="1" showColumnStripes="0"/>
</table>
</file>

<file path=xl/tables/table280.xml><?xml version="1.0" encoding="utf-8"?>
<table xmlns="http://schemas.openxmlformats.org/spreadsheetml/2006/main" id="254" name="Tabela1923455963255" displayName="Tabela1923455963255" ref="I241:AM251" totalsRowShown="0" headerRowDxfId="3295" dataDxfId="3293" headerRowBorderDxfId="3294">
  <autoFilter ref="I241:AM25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292"/>
    <tableColumn id="2" name="2" dataDxfId="3291"/>
    <tableColumn id="3" name="3" dataDxfId="3290"/>
    <tableColumn id="4" name="4" dataDxfId="3289"/>
    <tableColumn id="5" name="5" dataDxfId="3288"/>
    <tableColumn id="6" name="6" dataDxfId="3287"/>
    <tableColumn id="7" name="7" dataDxfId="3286"/>
    <tableColumn id="8" name="8" dataDxfId="3285"/>
    <tableColumn id="9" name="9" dataDxfId="3284"/>
    <tableColumn id="10" name="10" dataDxfId="3283"/>
    <tableColumn id="11" name="11" dataDxfId="3282"/>
    <tableColumn id="12" name="12" dataDxfId="3281"/>
    <tableColumn id="13" name="13" dataDxfId="3280"/>
    <tableColumn id="14" name="14" dataDxfId="3279"/>
    <tableColumn id="15" name="15" dataDxfId="3278"/>
    <tableColumn id="16" name="16" dataDxfId="3277"/>
    <tableColumn id="17" name="17" dataDxfId="3276"/>
    <tableColumn id="18" name="18" dataDxfId="3275"/>
    <tableColumn id="19" name="19" dataDxfId="3274"/>
    <tableColumn id="20" name="20" dataDxfId="3273"/>
    <tableColumn id="21" name="21" dataDxfId="3272"/>
    <tableColumn id="22" name="22" dataDxfId="3271"/>
    <tableColumn id="23" name="23" dataDxfId="3270"/>
    <tableColumn id="24" name="24" dataDxfId="3269"/>
    <tableColumn id="25" name="25" dataDxfId="3268"/>
    <tableColumn id="26" name="26" dataDxfId="3267"/>
    <tableColumn id="27" name="27" dataDxfId="3266"/>
    <tableColumn id="28" name="28" dataDxfId="3265"/>
    <tableColumn id="29" name="29" dataDxfId="3264"/>
    <tableColumn id="30" name="30" dataDxfId="3263"/>
    <tableColumn id="31" name="31" dataDxfId="3262"/>
  </tableColumns>
  <tableStyleInfo name="TableStyleMedium9" showFirstColumn="0" showLastColumn="0" showRowStripes="1" showColumnStripes="0"/>
</table>
</file>

<file path=xl/tables/table281.xml><?xml version="1.0" encoding="utf-8"?>
<table xmlns="http://schemas.openxmlformats.org/spreadsheetml/2006/main" id="255" name="Tabela33064256" displayName="Tabela33064256" ref="I51:AM66" totalsRowShown="0" headerRowDxfId="3261">
  <autoFilter ref="I51:AM6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260"/>
    <tableColumn id="2" name="2" dataDxfId="3259"/>
    <tableColumn id="3" name="3" dataDxfId="3258"/>
    <tableColumn id="4" name="4" dataDxfId="3257"/>
    <tableColumn id="5" name="5" dataDxfId="3256"/>
    <tableColumn id="6" name="6" dataDxfId="3255"/>
    <tableColumn id="7" name="7" dataDxfId="3254"/>
    <tableColumn id="8" name="8" dataDxfId="3253"/>
    <tableColumn id="9" name="9" dataDxfId="3252"/>
    <tableColumn id="10" name="10" dataDxfId="3251"/>
    <tableColumn id="11" name="11" dataDxfId="3250"/>
    <tableColumn id="12" name="12" dataDxfId="3249"/>
    <tableColumn id="13" name="13" dataDxfId="3248"/>
    <tableColumn id="14" name="14" dataDxfId="3247"/>
    <tableColumn id="15" name="15" dataDxfId="3246"/>
    <tableColumn id="16" name="16" dataDxfId="3245"/>
    <tableColumn id="17" name="17" dataDxfId="3244"/>
    <tableColumn id="18" name="18" dataDxfId="3243"/>
    <tableColumn id="19" name="19" dataDxfId="3242"/>
    <tableColumn id="20" name="20" dataDxfId="3241"/>
    <tableColumn id="21" name="21" dataDxfId="3240"/>
    <tableColumn id="22" name="22" dataDxfId="3239"/>
    <tableColumn id="23" name="23" dataDxfId="3238"/>
    <tableColumn id="24" name="24" dataDxfId="3237"/>
    <tableColumn id="25" name="25" dataDxfId="3236"/>
    <tableColumn id="26" name="26" dataDxfId="3235"/>
    <tableColumn id="27" name="27" dataDxfId="3234"/>
    <tableColumn id="28" name="28" dataDxfId="3233"/>
    <tableColumn id="29" name="29" dataDxfId="3232"/>
    <tableColumn id="30" name="30" dataDxfId="3231"/>
    <tableColumn id="31" name="31" dataDxfId="3230"/>
  </tableColumns>
  <tableStyleInfo name="TableStyleMedium9" showFirstColumn="0" showLastColumn="0" showRowStripes="1" showColumnStripes="0"/>
</table>
</file>

<file path=xl/tables/table282.xml><?xml version="1.0" encoding="utf-8"?>
<table xmlns="http://schemas.openxmlformats.org/spreadsheetml/2006/main" id="256" name="Jedzenie2257" displayName="Jedzenie2257" ref="B74:G83" headerRowCount="0" totalsRowShown="0" headerRowDxfId="3229" dataDxfId="3228">
  <tableColumns count="6">
    <tableColumn id="1" name="Kategoria" dataDxfId="3227">
      <calculatedColumnFormula>'Wzorzec kategorii'!B36</calculatedColumnFormula>
    </tableColumn>
    <tableColumn id="2" name="0" headerRowDxfId="3226" dataDxfId="3225"/>
    <tableColumn id="3" name="02" headerRowDxfId="3224" dataDxfId="3223">
      <calculatedColumnFormula>SUM(Tabela330260[#This Row])</calculatedColumnFormula>
    </tableColumn>
    <tableColumn id="4" name="Kolumna4" dataDxfId="3222">
      <calculatedColumnFormula>C74-D74</calculatedColumnFormula>
    </tableColumn>
    <tableColumn id="5" name="Kolumna1" dataDxfId="3221">
      <calculatedColumnFormula>IFERROR(D74/C74,"")</calculatedColumnFormula>
    </tableColumn>
    <tableColumn id="6" name="Kolumna2" dataDxfId="3220"/>
  </tableColumns>
  <tableStyleInfo name="TableStyleLight9" showFirstColumn="0" showLastColumn="0" showRowStripes="1" showColumnStripes="0"/>
</table>
</file>

<file path=xl/tables/table283.xml><?xml version="1.0" encoding="utf-8"?>
<table xmlns="http://schemas.openxmlformats.org/spreadsheetml/2006/main" id="257" name="Transport3258" displayName="Transport3258" ref="B98:G107" headerRowCount="0" totalsRowShown="0">
  <tableColumns count="6">
    <tableColumn id="1" name="Kolumna1" dataDxfId="3219">
      <calculatedColumnFormula>'Wzorzec kategorii'!B60</calculatedColumnFormula>
    </tableColumn>
    <tableColumn id="2" name="Kolumna2" dataDxfId="3218"/>
    <tableColumn id="3" name="Kolumna3" dataDxfId="3217">
      <calculatedColumnFormula>SUM(Tabela1942272[#This Row])</calculatedColumnFormula>
    </tableColumn>
    <tableColumn id="4" name="Kolumna4" dataDxfId="3216">
      <calculatedColumnFormula>C98-D98</calculatedColumnFormula>
    </tableColumn>
    <tableColumn id="5" name="Kolumna5" dataDxfId="3215">
      <calculatedColumnFormula>IFERROR(D98/C98,"")</calculatedColumnFormula>
    </tableColumn>
    <tableColumn id="6" name="Kolumna6" dataDxfId="3214"/>
  </tableColumns>
  <tableStyleInfo name="TableStyleLight9" showFirstColumn="0" showLastColumn="0" showRowStripes="1" showColumnStripes="0"/>
</table>
</file>

<file path=xl/tables/table284.xml><?xml version="1.0" encoding="utf-8"?>
<table xmlns="http://schemas.openxmlformats.org/spreadsheetml/2006/main" id="258" name="Tabela718259" displayName="Tabela718259" ref="B52:G66" headerRowCount="0" totalsRowShown="0" headerRowDxfId="3213" dataDxfId="3212">
  <tableColumns count="6">
    <tableColumn id="1" name="Kolumna1" dataDxfId="3211">
      <calculatedColumnFormula>'Wzorzec kategorii'!B15</calculatedColumnFormula>
    </tableColumn>
    <tableColumn id="2" name="Kolumna2" dataDxfId="3210"/>
    <tableColumn id="3" name="Kolumna3" dataDxfId="3209">
      <calculatedColumnFormula>SUM(Tabela33064288[#This Row])</calculatedColumnFormula>
    </tableColumn>
    <tableColumn id="4" name="Kolumna4" dataDxfId="3208">
      <calculatedColumnFormula>Tabela718259[[#This Row],[Kolumna3]]-Tabela718259[[#This Row],[Kolumna2]]</calculatedColumnFormula>
    </tableColumn>
    <tableColumn id="5" name="Kolumna5" dataDxfId="3207" dataCellStyle="Procentowy">
      <calculatedColumnFormula>IFERROR(D52/C52,"")</calculatedColumnFormula>
    </tableColumn>
    <tableColumn id="6" name="Kolumna6" dataDxfId="3206"/>
  </tableColumns>
  <tableStyleInfo name="TableStyleLight9" showFirstColumn="0" showLastColumn="0" showRowStripes="1" showColumnStripes="0"/>
</table>
</file>

<file path=xl/tables/table285.xml><?xml version="1.0" encoding="utf-8"?>
<table xmlns="http://schemas.openxmlformats.org/spreadsheetml/2006/main" id="259" name="Tabela330260" displayName="Tabela330260" ref="I73:AM83" totalsRowShown="0" headerRowDxfId="3205">
  <autoFilter ref="I73:AM8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204"/>
    <tableColumn id="2" name="2" dataDxfId="3203"/>
    <tableColumn id="3" name="3" dataDxfId="3202"/>
    <tableColumn id="4" name="4" dataDxfId="3201"/>
    <tableColumn id="5" name="5" dataDxfId="3200"/>
    <tableColumn id="6" name="6" dataDxfId="3199"/>
    <tableColumn id="7" name="7" dataDxfId="3198"/>
    <tableColumn id="8" name="8" dataDxfId="3197"/>
    <tableColumn id="9" name="9" dataDxfId="3196"/>
    <tableColumn id="10" name="10" dataDxfId="3195"/>
    <tableColumn id="11" name="11" dataDxfId="3194"/>
    <tableColumn id="12" name="12" dataDxfId="3193"/>
    <tableColumn id="13" name="13" dataDxfId="3192"/>
    <tableColumn id="14" name="14" dataDxfId="3191"/>
    <tableColumn id="15" name="15" dataDxfId="3190"/>
    <tableColumn id="16" name="16" dataDxfId="3189"/>
    <tableColumn id="17" name="17" dataDxfId="3188"/>
    <tableColumn id="18" name="18" dataDxfId="3187"/>
    <tableColumn id="19" name="19" dataDxfId="3186"/>
    <tableColumn id="20" name="20" dataDxfId="3185"/>
    <tableColumn id="21" name="21" dataDxfId="3184"/>
    <tableColumn id="22" name="22" dataDxfId="3183"/>
    <tableColumn id="23" name="23" dataDxfId="3182"/>
    <tableColumn id="24" name="24" dataDxfId="3181"/>
    <tableColumn id="25" name="25" dataDxfId="3180"/>
    <tableColumn id="26" name="26" dataDxfId="3179"/>
    <tableColumn id="27" name="27" dataDxfId="3178"/>
    <tableColumn id="28" name="28" dataDxfId="3177"/>
    <tableColumn id="29" name="29" dataDxfId="3176"/>
    <tableColumn id="30" name="30" dataDxfId="3175"/>
    <tableColumn id="31" name="31" dataDxfId="3174"/>
  </tableColumns>
  <tableStyleInfo name="TableStyleMedium9" showFirstColumn="0" showLastColumn="0" showRowStripes="1" showColumnStripes="0"/>
</table>
</file>

<file path=xl/tables/table286.xml><?xml version="1.0" encoding="utf-8"?>
<table xmlns="http://schemas.openxmlformats.org/spreadsheetml/2006/main" id="260" name="Tabela431261" displayName="Tabela431261" ref="B86:G95" headerRowCount="0" totalsRowShown="0" headerRowDxfId="3173">
  <tableColumns count="6">
    <tableColumn id="1" name="Kolumna1" dataDxfId="3172">
      <calculatedColumnFormula>'Wzorzec kategorii'!B48</calculatedColumnFormula>
    </tableColumn>
    <tableColumn id="2" name="Kolumna2" headerRowDxfId="3171" dataDxfId="3170"/>
    <tableColumn id="3" name="Kolumna3" headerRowDxfId="3169" dataDxfId="3168">
      <calculatedColumnFormula>SUM(Tabela1841271[#This Row])</calculatedColumnFormula>
    </tableColumn>
    <tableColumn id="4" name="Kolumna4" headerRowDxfId="3167" dataDxfId="3166">
      <calculatedColumnFormula>C86-D86</calculatedColumnFormula>
    </tableColumn>
    <tableColumn id="5" name="Kolumna5" headerRowDxfId="3165" dataDxfId="3164">
      <calculatedColumnFormula>IFERROR(D86/C86,"")</calculatedColumnFormula>
    </tableColumn>
    <tableColumn id="6" name="Kolumna6" headerRowDxfId="3163" dataDxfId="3162"/>
  </tableColumns>
  <tableStyleInfo name="TableStyleLight9" showFirstColumn="0" showLastColumn="0" showRowStripes="1" showColumnStripes="0"/>
</table>
</file>

<file path=xl/tables/table287.xml><?xml version="1.0" encoding="utf-8"?>
<table xmlns="http://schemas.openxmlformats.org/spreadsheetml/2006/main" id="261" name="Tabela832262" displayName="Tabela832262" ref="B110:G119" headerRowCount="0" totalsRowShown="0">
  <tableColumns count="6">
    <tableColumn id="1" name="Kolumna1" headerRowDxfId="3161" dataDxfId="3160">
      <calculatedColumnFormula>'Wzorzec kategorii'!B72</calculatedColumnFormula>
    </tableColumn>
    <tableColumn id="2" name="Kolumna2" dataDxfId="3159"/>
    <tableColumn id="3" name="Kolumna3" dataDxfId="3158">
      <calculatedColumnFormula>SUM(Tabela192143273[#This Row])</calculatedColumnFormula>
    </tableColumn>
    <tableColumn id="4" name="Kolumna4" dataDxfId="3157">
      <calculatedColumnFormula>C110-D110</calculatedColumnFormula>
    </tableColumn>
    <tableColumn id="5" name="Kolumna5" dataDxfId="3156">
      <calculatedColumnFormula>IFERROR(D110/C110,"")</calculatedColumnFormula>
    </tableColumn>
    <tableColumn id="6" name="Kolumna6" dataDxfId="3155"/>
  </tableColumns>
  <tableStyleInfo name="TableStyleLight9" showFirstColumn="0" showLastColumn="0" showRowStripes="1" showColumnStripes="0"/>
</table>
</file>

<file path=xl/tables/table288.xml><?xml version="1.0" encoding="utf-8"?>
<table xmlns="http://schemas.openxmlformats.org/spreadsheetml/2006/main" id="262" name="Tabela933263" displayName="Tabela933263" ref="B122:G131" headerRowCount="0" totalsRowShown="0">
  <tableColumns count="6">
    <tableColumn id="1" name="Kolumna1" headerRowDxfId="3154" dataDxfId="3153">
      <calculatedColumnFormula>'Wzorzec kategorii'!B84</calculatedColumnFormula>
    </tableColumn>
    <tableColumn id="2" name="Kolumna2" dataDxfId="3152"/>
    <tableColumn id="3" name="Kolumna3" dataDxfId="3151">
      <calculatedColumnFormula>SUM(Tabela19212547277[#This Row])</calculatedColumnFormula>
    </tableColumn>
    <tableColumn id="4" name="Kolumna4" dataDxfId="3150">
      <calculatedColumnFormula>C122-D122</calculatedColumnFormula>
    </tableColumn>
    <tableColumn id="5" name="Kolumna5" dataDxfId="3149">
      <calculatedColumnFormula>IFERROR(D122/C122,"")</calculatedColumnFormula>
    </tableColumn>
    <tableColumn id="6" name="Kolumna6" dataDxfId="3148"/>
  </tableColumns>
  <tableStyleInfo name="TableStyleLight9" showFirstColumn="0" showLastColumn="0" showRowStripes="1" showColumnStripes="0"/>
</table>
</file>

<file path=xl/tables/table289.xml><?xml version="1.0" encoding="utf-8"?>
<table xmlns="http://schemas.openxmlformats.org/spreadsheetml/2006/main" id="263" name="Tabela1034264" displayName="Tabela1034264" ref="B134:G143" headerRowCount="0" totalsRowShown="0">
  <tableColumns count="6">
    <tableColumn id="1" name="Kolumna1" headerRowDxfId="3147" dataDxfId="3146">
      <calculatedColumnFormula>'Wzorzec kategorii'!B96</calculatedColumnFormula>
    </tableColumn>
    <tableColumn id="2" name="Kolumna2" dataDxfId="3145"/>
    <tableColumn id="3" name="Kolumna3" dataDxfId="3144">
      <calculatedColumnFormula>SUM(Tabela19212446276[#This Row])</calculatedColumnFormula>
    </tableColumn>
    <tableColumn id="4" name="Kolumna4" dataDxfId="3143">
      <calculatedColumnFormula>C134-D134</calculatedColumnFormula>
    </tableColumn>
    <tableColumn id="5" name="Kolumna5" dataDxfId="3142">
      <calculatedColumnFormula>IFERROR(D134/C134,"")</calculatedColumnFormula>
    </tableColumn>
    <tableColumn id="6" name="Kolumna6" dataDxfId="3141"/>
  </tableColumns>
  <tableStyleInfo name="TableStyleLight9" showFirstColumn="0" showLastColumn="0" showRowStripes="1" showColumnStripes="0"/>
</table>
</file>

<file path=xl/tables/table29.xml><?xml version="1.0" encoding="utf-8"?>
<table xmlns="http://schemas.openxmlformats.org/spreadsheetml/2006/main" id="355" name="Tabela431356" displayName="Tabela431356" ref="B48:C57" headerRowCount="0" totalsRowShown="0" headerRowDxfId="7892">
  <tableColumns count="2">
    <tableColumn id="1" name="Kolumna1" dataDxfId="7891"/>
    <tableColumn id="2" name="Kolumna2" headerRowDxfId="7890" dataDxfId="7889"/>
  </tableColumns>
  <tableStyleInfo name="TableStyleLight9" showFirstColumn="0" showLastColumn="0" showRowStripes="1" showColumnStripes="0"/>
</table>
</file>

<file path=xl/tables/table290.xml><?xml version="1.0" encoding="utf-8"?>
<table xmlns="http://schemas.openxmlformats.org/spreadsheetml/2006/main" id="264" name="Tabela1135265" displayName="Tabela1135265" ref="B146:G155" headerRowCount="0" totalsRowShown="0">
  <tableColumns count="6">
    <tableColumn id="1" name="Kolumna1" dataDxfId="3140">
      <calculatedColumnFormula>'Wzorzec kategorii'!B108</calculatedColumnFormula>
    </tableColumn>
    <tableColumn id="2" name="Kolumna2" dataDxfId="3139"/>
    <tableColumn id="3" name="Kolumna3" dataDxfId="3138">
      <calculatedColumnFormula>SUM(Tabela192244274[#This Row])</calculatedColumnFormula>
    </tableColumn>
    <tableColumn id="4" name="Kolumna4" dataDxfId="3137">
      <calculatedColumnFormula>C146-D146</calculatedColumnFormula>
    </tableColumn>
    <tableColumn id="5" name="Kolumna5" dataDxfId="3136">
      <calculatedColumnFormula>IFERROR(D146/C146,"")</calculatedColumnFormula>
    </tableColumn>
    <tableColumn id="6" name="Kolumna6" dataDxfId="3135"/>
  </tableColumns>
  <tableStyleInfo name="TableStyleLight9" showFirstColumn="0" showLastColumn="0" showRowStripes="1" showColumnStripes="0"/>
</table>
</file>

<file path=xl/tables/table291.xml><?xml version="1.0" encoding="utf-8"?>
<table xmlns="http://schemas.openxmlformats.org/spreadsheetml/2006/main" id="265" name="Tabela1236266" displayName="Tabela1236266" ref="B158:G167" headerRowCount="0" totalsRowShown="0">
  <tableColumns count="6">
    <tableColumn id="1" name="Kolumna1" dataDxfId="3134">
      <calculatedColumnFormula>'Wzorzec kategorii'!B120</calculatedColumnFormula>
    </tableColumn>
    <tableColumn id="2" name="Kolumna2" dataDxfId="3133"/>
    <tableColumn id="3" name="Kolumna3" dataDxfId="3132">
      <calculatedColumnFormula>SUM(Tabela2548278[#This Row])</calculatedColumnFormula>
    </tableColumn>
    <tableColumn id="4" name="Kolumna4" dataDxfId="3131">
      <calculatedColumnFormula>C158-D158</calculatedColumnFormula>
    </tableColumn>
    <tableColumn id="5" name="Kolumna5" dataDxfId="3130">
      <calculatedColumnFormula>IFERROR(D158/C158,"")</calculatedColumnFormula>
    </tableColumn>
    <tableColumn id="6" name="Kolumna6"/>
  </tableColumns>
  <tableStyleInfo name="TableStyleLight9" showFirstColumn="0" showLastColumn="0" showRowStripes="1" showColumnStripes="0"/>
</table>
</file>

<file path=xl/tables/table292.xml><?xml version="1.0" encoding="utf-8"?>
<table xmlns="http://schemas.openxmlformats.org/spreadsheetml/2006/main" id="266" name="Tabela1337267" displayName="Tabela1337267" ref="B170:G179" headerRowCount="0" totalsRowShown="0">
  <tableColumns count="6">
    <tableColumn id="1" name="Kolumna1" dataDxfId="3129">
      <calculatedColumnFormula>'Wzorzec kategorii'!B132</calculatedColumnFormula>
    </tableColumn>
    <tableColumn id="2" name="Kolumna2" dataDxfId="3128"/>
    <tableColumn id="3" name="Kolumna3" dataDxfId="3127">
      <calculatedColumnFormula>SUM(Tabela2649279[#This Row])</calculatedColumnFormula>
    </tableColumn>
    <tableColumn id="4" name="Kolumna4" dataDxfId="3126">
      <calculatedColumnFormula>C170-D170</calculatedColumnFormula>
    </tableColumn>
    <tableColumn id="5" name="Kolumna5" dataDxfId="3125">
      <calculatedColumnFormula>IFERROR(D170/C170,"")</calculatedColumnFormula>
    </tableColumn>
    <tableColumn id="6" name="Kolumna6" dataDxfId="3124"/>
  </tableColumns>
  <tableStyleInfo name="TableStyleLight9" showFirstColumn="0" showLastColumn="0" showRowStripes="1" showColumnStripes="0"/>
</table>
</file>

<file path=xl/tables/table293.xml><?xml version="1.0" encoding="utf-8"?>
<table xmlns="http://schemas.openxmlformats.org/spreadsheetml/2006/main" id="267" name="Tabela1438268" displayName="Tabela1438268" ref="B182:G191" headerRowCount="0" totalsRowShown="0">
  <tableColumns count="6">
    <tableColumn id="1" name="Kolumna1" dataDxfId="3123">
      <calculatedColumnFormula>'Wzorzec kategorii'!B144</calculatedColumnFormula>
    </tableColumn>
    <tableColumn id="2" name="Kolumna2" dataDxfId="3122"/>
    <tableColumn id="3" name="Kolumna3" dataDxfId="3121">
      <calculatedColumnFormula>SUM(Tabela2750280[#This Row])</calculatedColumnFormula>
    </tableColumn>
    <tableColumn id="4" name="Kolumna4" dataDxfId="3120">
      <calculatedColumnFormula>C182-D182</calculatedColumnFormula>
    </tableColumn>
    <tableColumn id="5" name="Kolumna5" dataDxfId="3119">
      <calculatedColumnFormula>IFERROR(D182/C182,"")</calculatedColumnFormula>
    </tableColumn>
    <tableColumn id="6" name="Kolumna6" dataDxfId="3118"/>
  </tableColumns>
  <tableStyleInfo name="TableStyleLight9" showFirstColumn="0" showLastColumn="0" showRowStripes="1" showColumnStripes="0"/>
</table>
</file>

<file path=xl/tables/table294.xml><?xml version="1.0" encoding="utf-8"?>
<table xmlns="http://schemas.openxmlformats.org/spreadsheetml/2006/main" id="268" name="Tabela1539269" displayName="Tabela1539269" ref="B194:G203" headerRowCount="0" totalsRowShown="0">
  <tableColumns count="6">
    <tableColumn id="1" name="Kolumna1" dataDxfId="3117">
      <calculatedColumnFormula>'Wzorzec kategorii'!B156</calculatedColumnFormula>
    </tableColumn>
    <tableColumn id="2" name="Kolumna2" dataDxfId="3116"/>
    <tableColumn id="3" name="Kolumna3" dataDxfId="3115">
      <calculatedColumnFormula>SUM(Tabela2851281[#This Row])</calculatedColumnFormula>
    </tableColumn>
    <tableColumn id="4" name="Kolumna4" dataDxfId="3114">
      <calculatedColumnFormula>C194-D194</calculatedColumnFormula>
    </tableColumn>
    <tableColumn id="5" name="Kolumna5" dataDxfId="3113">
      <calculatedColumnFormula>IFERROR(D194/C194,"")</calculatedColumnFormula>
    </tableColumn>
    <tableColumn id="6" name="Kolumna6" dataDxfId="3112"/>
  </tableColumns>
  <tableStyleInfo name="TableStyleLight9" showFirstColumn="0" showLastColumn="0" showRowStripes="1" showColumnStripes="0"/>
</table>
</file>

<file path=xl/tables/table295.xml><?xml version="1.0" encoding="utf-8"?>
<table xmlns="http://schemas.openxmlformats.org/spreadsheetml/2006/main" id="269" name="Tabela1640270" displayName="Tabela1640270" ref="B206:G215" headerRowCount="0" totalsRowShown="0">
  <tableColumns count="6">
    <tableColumn id="1" name="Kolumna1" dataDxfId="3111">
      <calculatedColumnFormula>'Wzorzec kategorii'!B168</calculatedColumnFormula>
    </tableColumn>
    <tableColumn id="2" name="Kolumna2" dataDxfId="3110"/>
    <tableColumn id="3" name="Kolumna3" dataDxfId="3109">
      <calculatedColumnFormula>SUM(Tabela192345275[#This Row])</calculatedColumnFormula>
    </tableColumn>
    <tableColumn id="4" name="Kolumna4" dataDxfId="3108">
      <calculatedColumnFormula>C206-D206</calculatedColumnFormula>
    </tableColumn>
    <tableColumn id="5" name="Kolumna5" dataDxfId="3107">
      <calculatedColumnFormula>IFERROR(D206/C206,"")</calculatedColumnFormula>
    </tableColumn>
    <tableColumn id="6" name="Kolumna6" dataDxfId="3106"/>
  </tableColumns>
  <tableStyleInfo name="TableStyleLight9" showFirstColumn="0" showLastColumn="0" showRowStripes="1" showColumnStripes="0"/>
</table>
</file>

<file path=xl/tables/table296.xml><?xml version="1.0" encoding="utf-8"?>
<table xmlns="http://schemas.openxmlformats.org/spreadsheetml/2006/main" id="270" name="Tabela1841271" displayName="Tabela1841271" ref="I85:AM95" totalsRowShown="0" headerRowDxfId="3105" dataDxfId="3103" headerRowBorderDxfId="3104">
  <autoFilter ref="I85:AM9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102"/>
    <tableColumn id="2" name="2" dataDxfId="3101"/>
    <tableColumn id="3" name="3" dataDxfId="3100"/>
    <tableColumn id="4" name="4" dataDxfId="3099"/>
    <tableColumn id="5" name="5" dataDxfId="3098"/>
    <tableColumn id="6" name="6" dataDxfId="3097"/>
    <tableColumn id="7" name="7" dataDxfId="3096"/>
    <tableColumn id="8" name="8" dataDxfId="3095"/>
    <tableColumn id="9" name="9" dataDxfId="3094"/>
    <tableColumn id="10" name="10" dataDxfId="3093"/>
    <tableColumn id="11" name="11" dataDxfId="3092"/>
    <tableColumn id="12" name="12" dataDxfId="3091"/>
    <tableColumn id="13" name="13" dataDxfId="3090"/>
    <tableColumn id="14" name="14" dataDxfId="3089"/>
    <tableColumn id="15" name="15" dataDxfId="3088"/>
    <tableColumn id="16" name="16" dataDxfId="3087"/>
    <tableColumn id="17" name="17" dataDxfId="3086"/>
    <tableColumn id="18" name="18" dataDxfId="3085"/>
    <tableColumn id="19" name="19" dataDxfId="3084"/>
    <tableColumn id="20" name="20" dataDxfId="3083"/>
    <tableColumn id="21" name="21" dataDxfId="3082"/>
    <tableColumn id="22" name="22" dataDxfId="3081"/>
    <tableColumn id="23" name="23" dataDxfId="3080"/>
    <tableColumn id="24" name="24" dataDxfId="3079"/>
    <tableColumn id="25" name="25" dataDxfId="3078"/>
    <tableColumn id="26" name="26" dataDxfId="3077"/>
    <tableColumn id="27" name="27" dataDxfId="3076"/>
    <tableColumn id="28" name="28" dataDxfId="3075"/>
    <tableColumn id="29" name="29" dataDxfId="3074"/>
    <tableColumn id="30" name="30" dataDxfId="3073"/>
    <tableColumn id="31" name="31" dataDxfId="3072"/>
  </tableColumns>
  <tableStyleInfo name="TableStyleMedium9" showFirstColumn="0" showLastColumn="0" showRowStripes="1" showColumnStripes="0"/>
</table>
</file>

<file path=xl/tables/table297.xml><?xml version="1.0" encoding="utf-8"?>
<table xmlns="http://schemas.openxmlformats.org/spreadsheetml/2006/main" id="271" name="Tabela1942272" displayName="Tabela1942272" ref="I97:AM107" totalsRowShown="0" headerRowDxfId="3071" dataDxfId="3069" headerRowBorderDxfId="3070">
  <autoFilter ref="I97:AM10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068"/>
    <tableColumn id="2" name="2" dataDxfId="3067"/>
    <tableColumn id="3" name="3" dataDxfId="3066"/>
    <tableColumn id="4" name="4" dataDxfId="3065"/>
    <tableColumn id="5" name="5" dataDxfId="3064"/>
    <tableColumn id="6" name="6" dataDxfId="3063"/>
    <tableColumn id="7" name="7" dataDxfId="3062"/>
    <tableColumn id="8" name="8" dataDxfId="3061"/>
    <tableColumn id="9" name="9" dataDxfId="3060"/>
    <tableColumn id="10" name="10" dataDxfId="3059"/>
    <tableColumn id="11" name="11" dataDxfId="3058"/>
    <tableColumn id="12" name="12" dataDxfId="3057"/>
    <tableColumn id="13" name="13" dataDxfId="3056"/>
    <tableColumn id="14" name="14" dataDxfId="3055"/>
    <tableColumn id="15" name="15" dataDxfId="3054"/>
    <tableColumn id="16" name="16" dataDxfId="3053"/>
    <tableColumn id="17" name="17" dataDxfId="3052"/>
    <tableColumn id="18" name="18" dataDxfId="3051"/>
    <tableColumn id="19" name="19" dataDxfId="3050"/>
    <tableColumn id="20" name="20" dataDxfId="3049"/>
    <tableColumn id="21" name="21" dataDxfId="3048"/>
    <tableColumn id="22" name="22" dataDxfId="3047"/>
    <tableColumn id="23" name="23" dataDxfId="3046"/>
    <tableColumn id="24" name="24" dataDxfId="3045"/>
    <tableColumn id="25" name="25" dataDxfId="3044"/>
    <tableColumn id="26" name="26" dataDxfId="3043"/>
    <tableColumn id="27" name="27" dataDxfId="3042"/>
    <tableColumn id="28" name="28" dataDxfId="3041"/>
    <tableColumn id="29" name="29" dataDxfId="3040"/>
    <tableColumn id="30" name="30" dataDxfId="3039"/>
    <tableColumn id="31" name="31" dataDxfId="3038"/>
  </tableColumns>
  <tableStyleInfo name="TableStyleMedium9" showFirstColumn="0" showLastColumn="0" showRowStripes="1" showColumnStripes="0"/>
</table>
</file>

<file path=xl/tables/table298.xml><?xml version="1.0" encoding="utf-8"?>
<table xmlns="http://schemas.openxmlformats.org/spreadsheetml/2006/main" id="272" name="Tabela192143273" displayName="Tabela192143273" ref="I109:AM119" totalsRowShown="0" headerRowDxfId="3037" dataDxfId="3035" headerRowBorderDxfId="3036">
  <autoFilter ref="I109:AM1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034"/>
    <tableColumn id="2" name="2" dataDxfId="3033"/>
    <tableColumn id="3" name="3" dataDxfId="3032"/>
    <tableColumn id="4" name="4" dataDxfId="3031"/>
    <tableColumn id="5" name="5" dataDxfId="3030"/>
    <tableColumn id="6" name="6" dataDxfId="3029"/>
    <tableColumn id="7" name="7" dataDxfId="3028"/>
    <tableColumn id="8" name="8" dataDxfId="3027"/>
    <tableColumn id="9" name="9" dataDxfId="3026"/>
    <tableColumn id="10" name="10" dataDxfId="3025"/>
    <tableColumn id="11" name="11" dataDxfId="3024"/>
    <tableColumn id="12" name="12" dataDxfId="3023"/>
    <tableColumn id="13" name="13" dataDxfId="3022"/>
    <tableColumn id="14" name="14" dataDxfId="3021"/>
    <tableColumn id="15" name="15" dataDxfId="3020"/>
    <tableColumn id="16" name="16" dataDxfId="3019"/>
    <tableColumn id="17" name="17" dataDxfId="3018"/>
    <tableColumn id="18" name="18" dataDxfId="3017"/>
    <tableColumn id="19" name="19" dataDxfId="3016"/>
    <tableColumn id="20" name="20" dataDxfId="3015"/>
    <tableColumn id="21" name="21" dataDxfId="3014"/>
    <tableColumn id="22" name="22" dataDxfId="3013"/>
    <tableColumn id="23" name="23" dataDxfId="3012"/>
    <tableColumn id="24" name="24" dataDxfId="3011"/>
    <tableColumn id="25" name="25" dataDxfId="3010"/>
    <tableColumn id="26" name="26" dataDxfId="3009"/>
    <tableColumn id="27" name="27" dataDxfId="3008"/>
    <tableColumn id="28" name="28" dataDxfId="3007"/>
    <tableColumn id="29" name="29" dataDxfId="3006"/>
    <tableColumn id="30" name="30" dataDxfId="3005"/>
    <tableColumn id="31" name="31" dataDxfId="3004"/>
  </tableColumns>
  <tableStyleInfo name="TableStyleMedium9" showFirstColumn="0" showLastColumn="0" showRowStripes="1" showColumnStripes="0"/>
</table>
</file>

<file path=xl/tables/table299.xml><?xml version="1.0" encoding="utf-8"?>
<table xmlns="http://schemas.openxmlformats.org/spreadsheetml/2006/main" id="273" name="Tabela192244274" displayName="Tabela192244274" ref="I145:AM155" totalsRowShown="0" headerRowDxfId="3003" dataDxfId="3001" headerRowBorderDxfId="3002">
  <autoFilter ref="I145:AM1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000"/>
    <tableColumn id="2" name="2" dataDxfId="2999"/>
    <tableColumn id="3" name="3" dataDxfId="2998"/>
    <tableColumn id="4" name="4" dataDxfId="2997"/>
    <tableColumn id="5" name="5" dataDxfId="2996"/>
    <tableColumn id="6" name="6" dataDxfId="2995"/>
    <tableColumn id="7" name="7" dataDxfId="2994"/>
    <tableColumn id="8" name="8" dataDxfId="2993"/>
    <tableColumn id="9" name="9" dataDxfId="2992"/>
    <tableColumn id="10" name="10" dataDxfId="2991"/>
    <tableColumn id="11" name="11" dataDxfId="2990"/>
    <tableColumn id="12" name="12" dataDxfId="2989"/>
    <tableColumn id="13" name="13" dataDxfId="2988"/>
    <tableColumn id="14" name="14" dataDxfId="2987"/>
    <tableColumn id="15" name="15" dataDxfId="2986"/>
    <tableColumn id="16" name="16" dataDxfId="2985"/>
    <tableColumn id="17" name="17" dataDxfId="2984"/>
    <tableColumn id="18" name="18" dataDxfId="2983"/>
    <tableColumn id="19" name="19" dataDxfId="2982"/>
    <tableColumn id="20" name="20" dataDxfId="2981"/>
    <tableColumn id="21" name="21" dataDxfId="2980"/>
    <tableColumn id="22" name="22" dataDxfId="2979"/>
    <tableColumn id="23" name="23" dataDxfId="2978"/>
    <tableColumn id="24" name="24" dataDxfId="2977"/>
    <tableColumn id="25" name="25" dataDxfId="2976"/>
    <tableColumn id="26" name="26" dataDxfId="2975"/>
    <tableColumn id="27" name="27" dataDxfId="2974"/>
    <tableColumn id="28" name="28" dataDxfId="2973"/>
    <tableColumn id="29" name="29" dataDxfId="2972"/>
    <tableColumn id="30" name="30" dataDxfId="2971"/>
    <tableColumn id="31" name="31" dataDxfId="297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7" name="Tabela7" displayName="Tabela7" ref="B49:G55" headerRowCount="0" totalsRowShown="0" headerRowDxfId="8382" dataDxfId="8381">
  <tableColumns count="6">
    <tableColumn id="1" name="Kolumna1" dataDxfId="8380"/>
    <tableColumn id="2" name="Kolumna2" dataDxfId="8379"/>
    <tableColumn id="3" name="Kolumna3" dataDxfId="8378"/>
    <tableColumn id="4" name="Kolumna4" dataDxfId="8377">
      <calculatedColumnFormula>Tabela7[[#This Row],[Kolumna3]]-Tabela7[[#This Row],[Kolumna2]]</calculatedColumnFormula>
    </tableColumn>
    <tableColumn id="5" name="Kolumna5" dataDxfId="8376">
      <calculatedColumnFormula>IFERROR(D49/C49,"")</calculatedColumnFormula>
    </tableColumn>
    <tableColumn id="6" name="Kolumna6" dataDxfId="8375"/>
  </tableColumns>
  <tableStyleInfo name="TableStyleLight9" showFirstColumn="0" showLastColumn="0" showRowStripes="1" showColumnStripes="0"/>
</table>
</file>

<file path=xl/tables/table30.xml><?xml version="1.0" encoding="utf-8"?>
<table xmlns="http://schemas.openxmlformats.org/spreadsheetml/2006/main" id="356" name="Tabela832357" displayName="Tabela832357" ref="B72:C81" headerRowCount="0" totalsRowShown="0">
  <tableColumns count="2">
    <tableColumn id="1" name="Kolumna1" headerRowDxfId="7888" dataDxfId="7887"/>
    <tableColumn id="2" name="Kolumna2" dataDxfId="7886"/>
  </tableColumns>
  <tableStyleInfo name="TableStyleLight9" showFirstColumn="0" showLastColumn="0" showRowStripes="1" showColumnStripes="0"/>
</table>
</file>

<file path=xl/tables/table300.xml><?xml version="1.0" encoding="utf-8"?>
<table xmlns="http://schemas.openxmlformats.org/spreadsheetml/2006/main" id="274" name="Tabela192345275" displayName="Tabela192345275" ref="I205:AM215" totalsRowShown="0" headerRowDxfId="2969" dataDxfId="2967" headerRowBorderDxfId="2968">
  <autoFilter ref="I205:AM2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966"/>
    <tableColumn id="2" name="2" dataDxfId="2965"/>
    <tableColumn id="3" name="3" dataDxfId="2964"/>
    <tableColumn id="4" name="4" dataDxfId="2963"/>
    <tableColumn id="5" name="5" dataDxfId="2962"/>
    <tableColumn id="6" name="6" dataDxfId="2961"/>
    <tableColumn id="7" name="7" dataDxfId="2960"/>
    <tableColumn id="8" name="8" dataDxfId="2959"/>
    <tableColumn id="9" name="9" dataDxfId="2958"/>
    <tableColumn id="10" name="10" dataDxfId="2957"/>
    <tableColumn id="11" name="11" dataDxfId="2956"/>
    <tableColumn id="12" name="12" dataDxfId="2955"/>
    <tableColumn id="13" name="13" dataDxfId="2954"/>
    <tableColumn id="14" name="14" dataDxfId="2953"/>
    <tableColumn id="15" name="15" dataDxfId="2952"/>
    <tableColumn id="16" name="16" dataDxfId="2951"/>
    <tableColumn id="17" name="17" dataDxfId="2950"/>
    <tableColumn id="18" name="18" dataDxfId="2949"/>
    <tableColumn id="19" name="19" dataDxfId="2948"/>
    <tableColumn id="20" name="20" dataDxfId="2947"/>
    <tableColumn id="21" name="21" dataDxfId="2946"/>
    <tableColumn id="22" name="22" dataDxfId="2945"/>
    <tableColumn id="23" name="23" dataDxfId="2944"/>
    <tableColumn id="24" name="24" dataDxfId="2943"/>
    <tableColumn id="25" name="25" dataDxfId="2942"/>
    <tableColumn id="26" name="26" dataDxfId="2941"/>
    <tableColumn id="27" name="27" dataDxfId="2940"/>
    <tableColumn id="28" name="28" dataDxfId="2939"/>
    <tableColumn id="29" name="29" dataDxfId="2938"/>
    <tableColumn id="30" name="30" dataDxfId="2937"/>
    <tableColumn id="31" name="31" dataDxfId="2936"/>
  </tableColumns>
  <tableStyleInfo name="TableStyleMedium9" showFirstColumn="0" showLastColumn="0" showRowStripes="1" showColumnStripes="0"/>
</table>
</file>

<file path=xl/tables/table301.xml><?xml version="1.0" encoding="utf-8"?>
<table xmlns="http://schemas.openxmlformats.org/spreadsheetml/2006/main" id="275" name="Tabela19212446276" displayName="Tabela19212446276" ref="I133:AM143" totalsRowShown="0" headerRowDxfId="2935" dataDxfId="2933" headerRowBorderDxfId="2934">
  <autoFilter ref="I133:AM1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932"/>
    <tableColumn id="2" name="2" dataDxfId="2931"/>
    <tableColumn id="3" name="3" dataDxfId="2930"/>
    <tableColumn id="4" name="4" dataDxfId="2929"/>
    <tableColumn id="5" name="5" dataDxfId="2928"/>
    <tableColumn id="6" name="6" dataDxfId="2927"/>
    <tableColumn id="7" name="7" dataDxfId="2926"/>
    <tableColumn id="8" name="8" dataDxfId="2925"/>
    <tableColumn id="9" name="9" dataDxfId="2924"/>
    <tableColumn id="10" name="10" dataDxfId="2923"/>
    <tableColumn id="11" name="11" dataDxfId="2922"/>
    <tableColumn id="12" name="12" dataDxfId="2921"/>
    <tableColumn id="13" name="13" dataDxfId="2920"/>
    <tableColumn id="14" name="14" dataDxfId="2919"/>
    <tableColumn id="15" name="15" dataDxfId="2918"/>
    <tableColumn id="16" name="16" dataDxfId="2917"/>
    <tableColumn id="17" name="17" dataDxfId="2916"/>
    <tableColumn id="18" name="18" dataDxfId="2915"/>
    <tableColumn id="19" name="19" dataDxfId="2914"/>
    <tableColumn id="20" name="20" dataDxfId="2913"/>
    <tableColumn id="21" name="21" dataDxfId="2912"/>
    <tableColumn id="22" name="22" dataDxfId="2911"/>
    <tableColumn id="23" name="23" dataDxfId="2910"/>
    <tableColumn id="24" name="24" dataDxfId="2909"/>
    <tableColumn id="25" name="25" dataDxfId="2908"/>
    <tableColumn id="26" name="26" dataDxfId="2907"/>
    <tableColumn id="27" name="27" dataDxfId="2906"/>
    <tableColumn id="28" name="28" dataDxfId="2905"/>
    <tableColumn id="29" name="29" dataDxfId="2904"/>
    <tableColumn id="30" name="30" dataDxfId="2903"/>
    <tableColumn id="31" name="31" dataDxfId="2902"/>
  </tableColumns>
  <tableStyleInfo name="TableStyleMedium9" showFirstColumn="0" showLastColumn="0" showRowStripes="1" showColumnStripes="0"/>
</table>
</file>

<file path=xl/tables/table302.xml><?xml version="1.0" encoding="utf-8"?>
<table xmlns="http://schemas.openxmlformats.org/spreadsheetml/2006/main" id="276" name="Tabela19212547277" displayName="Tabela19212547277" ref="I121:AM131" totalsRowShown="0" headerRowDxfId="2901" dataDxfId="2899" headerRowBorderDxfId="2900">
  <autoFilter ref="I121:AM1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898"/>
    <tableColumn id="2" name="2" dataDxfId="2897"/>
    <tableColumn id="3" name="3" dataDxfId="2896"/>
    <tableColumn id="4" name="4" dataDxfId="2895"/>
    <tableColumn id="5" name="5" dataDxfId="2894"/>
    <tableColumn id="6" name="6" dataDxfId="2893"/>
    <tableColumn id="7" name="7" dataDxfId="2892"/>
    <tableColumn id="8" name="8" dataDxfId="2891"/>
    <tableColumn id="9" name="9" dataDxfId="2890"/>
    <tableColumn id="10" name="10" dataDxfId="2889"/>
    <tableColumn id="11" name="11" dataDxfId="2888"/>
    <tableColumn id="12" name="12" dataDxfId="2887"/>
    <tableColumn id="13" name="13" dataDxfId="2886"/>
    <tableColumn id="14" name="14" dataDxfId="2885"/>
    <tableColumn id="15" name="15" dataDxfId="2884"/>
    <tableColumn id="16" name="16" dataDxfId="2883"/>
    <tableColumn id="17" name="17" dataDxfId="2882"/>
    <tableColumn id="18" name="18" dataDxfId="2881"/>
    <tableColumn id="19" name="19" dataDxfId="2880"/>
    <tableColumn id="20" name="20" dataDxfId="2879"/>
    <tableColumn id="21" name="21" dataDxfId="2878"/>
    <tableColumn id="22" name="22" dataDxfId="2877"/>
    <tableColumn id="23" name="23" dataDxfId="2876"/>
    <tableColumn id="24" name="24" dataDxfId="2875"/>
    <tableColumn id="25" name="25" dataDxfId="2874"/>
    <tableColumn id="26" name="26" dataDxfId="2873"/>
    <tableColumn id="27" name="27" dataDxfId="2872"/>
    <tableColumn id="28" name="28" dataDxfId="2871"/>
    <tableColumn id="29" name="29" dataDxfId="2870"/>
    <tableColumn id="30" name="30" dataDxfId="2869"/>
    <tableColumn id="31" name="31" dataDxfId="2868"/>
  </tableColumns>
  <tableStyleInfo name="TableStyleMedium9" showFirstColumn="0" showLastColumn="0" showRowStripes="1" showColumnStripes="0"/>
</table>
</file>

<file path=xl/tables/table303.xml><?xml version="1.0" encoding="utf-8"?>
<table xmlns="http://schemas.openxmlformats.org/spreadsheetml/2006/main" id="277" name="Tabela2548278" displayName="Tabela2548278" ref="I157:AM167" totalsRowShown="0" headerRowDxfId="2867" dataDxfId="2866">
  <autoFilter ref="I157:AM1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865"/>
    <tableColumn id="2" name="2" dataDxfId="2864"/>
    <tableColumn id="3" name="3" dataDxfId="2863"/>
    <tableColumn id="4" name="4" dataDxfId="2862"/>
    <tableColumn id="5" name="5" dataDxfId="2861"/>
    <tableColumn id="6" name="6" dataDxfId="2860"/>
    <tableColumn id="7" name="7" dataDxfId="2859"/>
    <tableColumn id="8" name="8" dataDxfId="2858"/>
    <tableColumn id="9" name="9" dataDxfId="2857"/>
    <tableColumn id="10" name="10" dataDxfId="2856"/>
    <tableColumn id="11" name="11" dataDxfId="2855"/>
    <tableColumn id="12" name="12" dataDxfId="2854"/>
    <tableColumn id="13" name="13" dataDxfId="2853"/>
    <tableColumn id="14" name="14" dataDxfId="2852"/>
    <tableColumn id="15" name="15" dataDxfId="2851"/>
    <tableColumn id="16" name="16" dataDxfId="2850"/>
    <tableColumn id="17" name="17" dataDxfId="2849"/>
    <tableColumn id="18" name="18" dataDxfId="2848"/>
    <tableColumn id="19" name="19" dataDxfId="2847"/>
    <tableColumn id="20" name="20" dataDxfId="2846"/>
    <tableColumn id="21" name="21" dataDxfId="2845"/>
    <tableColumn id="22" name="22" dataDxfId="2844"/>
    <tableColumn id="23" name="23" dataDxfId="2843"/>
    <tableColumn id="24" name="24" dataDxfId="2842"/>
    <tableColumn id="25" name="25" dataDxfId="2841"/>
    <tableColumn id="26" name="26" dataDxfId="2840"/>
    <tableColumn id="27" name="27" dataDxfId="2839"/>
    <tableColumn id="28" name="28" dataDxfId="2838"/>
    <tableColumn id="29" name="29" dataDxfId="2837"/>
    <tableColumn id="30" name="30" dataDxfId="2836"/>
    <tableColumn id="31" name="31" dataDxfId="2835"/>
  </tableColumns>
  <tableStyleInfo name="TableStyleMedium9" showFirstColumn="0" showLastColumn="0" showRowStripes="1" showColumnStripes="0"/>
</table>
</file>

<file path=xl/tables/table304.xml><?xml version="1.0" encoding="utf-8"?>
<table xmlns="http://schemas.openxmlformats.org/spreadsheetml/2006/main" id="278" name="Tabela2649279" displayName="Tabela2649279" ref="I169:AM179" totalsRowShown="0" headerRowDxfId="2834" headerRowBorderDxfId="2833">
  <autoFilter ref="I169:AM1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832"/>
    <tableColumn id="2" name="2" dataDxfId="2831"/>
    <tableColumn id="3" name="3" dataDxfId="2830"/>
    <tableColumn id="4" name="4" dataDxfId="2829"/>
    <tableColumn id="5" name="5" dataDxfId="2828"/>
    <tableColumn id="6" name="6" dataDxfId="2827"/>
    <tableColumn id="7" name="7" dataDxfId="2826"/>
    <tableColumn id="8" name="8" dataDxfId="2825"/>
    <tableColumn id="9" name="9" dataDxfId="2824"/>
    <tableColumn id="10" name="10" dataDxfId="2823"/>
    <tableColumn id="11" name="11" dataDxfId="2822"/>
    <tableColumn id="12" name="12" dataDxfId="2821"/>
    <tableColumn id="13" name="13" dataDxfId="2820"/>
    <tableColumn id="14" name="14" dataDxfId="2819"/>
    <tableColumn id="15" name="15" dataDxfId="2818"/>
    <tableColumn id="16" name="16" dataDxfId="2817"/>
    <tableColumn id="17" name="17" dataDxfId="2816"/>
    <tableColumn id="18" name="18" dataDxfId="2815"/>
    <tableColumn id="19" name="19" dataDxfId="2814"/>
    <tableColumn id="20" name="20" dataDxfId="2813"/>
    <tableColumn id="21" name="21" dataDxfId="2812"/>
    <tableColumn id="22" name="22" dataDxfId="2811"/>
    <tableColumn id="23" name="23" dataDxfId="2810"/>
    <tableColumn id="24" name="24" dataDxfId="2809"/>
    <tableColumn id="25" name="25" dataDxfId="2808"/>
    <tableColumn id="26" name="26" dataDxfId="2807"/>
    <tableColumn id="27" name="27" dataDxfId="2806"/>
    <tableColumn id="28" name="28" dataDxfId="2805"/>
    <tableColumn id="29" name="29" dataDxfId="2804"/>
    <tableColumn id="30" name="30" dataDxfId="2803"/>
    <tableColumn id="31" name="31" dataDxfId="2802"/>
  </tableColumns>
  <tableStyleInfo name="TableStyleMedium9" showFirstColumn="0" showLastColumn="0" showRowStripes="1" showColumnStripes="0"/>
</table>
</file>

<file path=xl/tables/table305.xml><?xml version="1.0" encoding="utf-8"?>
<table xmlns="http://schemas.openxmlformats.org/spreadsheetml/2006/main" id="279" name="Tabela2750280" displayName="Tabela2750280" ref="I181:AM191" totalsRowShown="0" headerRowDxfId="2801">
  <autoFilter ref="I181:AM19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800"/>
    <tableColumn id="2" name="2" dataDxfId="2799"/>
    <tableColumn id="3" name="3" dataDxfId="2798"/>
    <tableColumn id="4" name="4" dataDxfId="2797"/>
    <tableColumn id="5" name="5" dataDxfId="2796"/>
    <tableColumn id="6" name="6" dataDxfId="2795"/>
    <tableColumn id="7" name="7" dataDxfId="2794"/>
    <tableColumn id="8" name="8" dataDxfId="2793"/>
    <tableColumn id="9" name="9" dataDxfId="2792"/>
    <tableColumn id="10" name="10" dataDxfId="2791"/>
    <tableColumn id="11" name="11" dataDxfId="2790"/>
    <tableColumn id="12" name="12" dataDxfId="2789"/>
    <tableColumn id="13" name="13" dataDxfId="2788"/>
    <tableColumn id="14" name="14" dataDxfId="2787"/>
    <tableColumn id="15" name="15" dataDxfId="2786"/>
    <tableColumn id="16" name="16" dataDxfId="2785"/>
    <tableColumn id="17" name="17" dataDxfId="2784"/>
    <tableColumn id="18" name="18" dataDxfId="2783"/>
    <tableColumn id="19" name="19" dataDxfId="2782"/>
    <tableColumn id="20" name="20" dataDxfId="2781"/>
    <tableColumn id="21" name="21" dataDxfId="2780"/>
    <tableColumn id="22" name="22" dataDxfId="2779"/>
    <tableColumn id="23" name="23" dataDxfId="2778"/>
    <tableColumn id="24" name="24" dataDxfId="2777"/>
    <tableColumn id="25" name="25" dataDxfId="2776"/>
    <tableColumn id="26" name="26" dataDxfId="2775"/>
    <tableColumn id="27" name="27" dataDxfId="2774"/>
    <tableColumn id="28" name="28" dataDxfId="2773"/>
    <tableColumn id="29" name="29" dataDxfId="2772"/>
    <tableColumn id="30" name="30" dataDxfId="2771"/>
    <tableColumn id="31" name="31" dataDxfId="2770"/>
  </tableColumns>
  <tableStyleInfo name="TableStyleMedium9" showFirstColumn="0" showLastColumn="0" showRowStripes="1" showColumnStripes="0"/>
</table>
</file>

<file path=xl/tables/table306.xml><?xml version="1.0" encoding="utf-8"?>
<table xmlns="http://schemas.openxmlformats.org/spreadsheetml/2006/main" id="280" name="Tabela2851281" displayName="Tabela2851281" ref="I193:AM203" totalsRowShown="0" headerRowDxfId="2769" dataDxfId="2767" headerRowBorderDxfId="2768">
  <autoFilter ref="I193:AM20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766"/>
    <tableColumn id="2" name="2" dataDxfId="2765"/>
    <tableColumn id="3" name="3" dataDxfId="2764"/>
    <tableColumn id="4" name="4" dataDxfId="2763"/>
    <tableColumn id="5" name="5" dataDxfId="2762"/>
    <tableColumn id="6" name="6" dataDxfId="2761"/>
    <tableColumn id="7" name="7" dataDxfId="2760"/>
    <tableColumn id="8" name="8" dataDxfId="2759"/>
    <tableColumn id="9" name="9" dataDxfId="2758"/>
    <tableColumn id="10" name="10" dataDxfId="2757"/>
    <tableColumn id="11" name="11" dataDxfId="2756"/>
    <tableColumn id="12" name="12" dataDxfId="2755"/>
    <tableColumn id="13" name="13" dataDxfId="2754"/>
    <tableColumn id="14" name="14" dataDxfId="2753"/>
    <tableColumn id="15" name="15" dataDxfId="2752"/>
    <tableColumn id="16" name="16" dataDxfId="2751"/>
    <tableColumn id="17" name="17" dataDxfId="2750"/>
    <tableColumn id="18" name="18" dataDxfId="2749"/>
    <tableColumn id="19" name="19" dataDxfId="2748"/>
    <tableColumn id="20" name="20" dataDxfId="2747"/>
    <tableColumn id="21" name="21" dataDxfId="2746"/>
    <tableColumn id="22" name="22" dataDxfId="2745"/>
    <tableColumn id="23" name="23" dataDxfId="2744"/>
    <tableColumn id="24" name="24" dataDxfId="2743"/>
    <tableColumn id="25" name="25" dataDxfId="2742"/>
    <tableColumn id="26" name="26" dataDxfId="2741"/>
    <tableColumn id="27" name="27" dataDxfId="2740"/>
    <tableColumn id="28" name="28" dataDxfId="2739"/>
    <tableColumn id="29" name="29" dataDxfId="2738"/>
    <tableColumn id="30" name="30" dataDxfId="2737"/>
    <tableColumn id="31" name="31" dataDxfId="2736"/>
  </tableColumns>
  <tableStyleInfo name="TableStyleMedium9" showFirstColumn="0" showLastColumn="0" showRowStripes="1" showColumnStripes="0"/>
</table>
</file>

<file path=xl/tables/table307.xml><?xml version="1.0" encoding="utf-8"?>
<table xmlns="http://schemas.openxmlformats.org/spreadsheetml/2006/main" id="281" name="Tabela164058282" displayName="Tabela164058282" ref="B218:G227" headerRowCount="0" totalsRowShown="0">
  <tableColumns count="6">
    <tableColumn id="1" name="Kolumna1" dataDxfId="2735">
      <calculatedColumnFormula>'Wzorzec kategorii'!B180</calculatedColumnFormula>
    </tableColumn>
    <tableColumn id="2" name="Kolumna2" dataDxfId="2734"/>
    <tableColumn id="3" name="Kolumna3" dataDxfId="2733">
      <calculatedColumnFormula>SUM(Tabela19234559283[#This Row])</calculatedColumnFormula>
    </tableColumn>
    <tableColumn id="4" name="Kolumna4" dataDxfId="2732">
      <calculatedColumnFormula>C218-D218</calculatedColumnFormula>
    </tableColumn>
    <tableColumn id="5" name="Kolumna5" dataDxfId="2731">
      <calculatedColumnFormula>IFERROR(D218/C218,"")</calculatedColumnFormula>
    </tableColumn>
    <tableColumn id="6" name="Kolumna6" dataDxfId="2730"/>
  </tableColumns>
  <tableStyleInfo name="TableStyleLight9" showFirstColumn="0" showLastColumn="0" showRowStripes="1" showColumnStripes="0"/>
</table>
</file>

<file path=xl/tables/table308.xml><?xml version="1.0" encoding="utf-8"?>
<table xmlns="http://schemas.openxmlformats.org/spreadsheetml/2006/main" id="282" name="Tabela19234559283" displayName="Tabela19234559283" ref="I217:AM227" totalsRowShown="0" headerRowDxfId="2729" dataDxfId="2727" headerRowBorderDxfId="2728">
  <autoFilter ref="I217:AM2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726"/>
    <tableColumn id="2" name="2" dataDxfId="2725"/>
    <tableColumn id="3" name="3" dataDxfId="2724"/>
    <tableColumn id="4" name="4" dataDxfId="2723"/>
    <tableColumn id="5" name="5" dataDxfId="2722"/>
    <tableColumn id="6" name="6" dataDxfId="2721"/>
    <tableColumn id="7" name="7" dataDxfId="2720"/>
    <tableColumn id="8" name="8" dataDxfId="2719"/>
    <tableColumn id="9" name="9" dataDxfId="2718"/>
    <tableColumn id="10" name="10" dataDxfId="2717"/>
    <tableColumn id="11" name="11" dataDxfId="2716"/>
    <tableColumn id="12" name="12" dataDxfId="2715"/>
    <tableColumn id="13" name="13" dataDxfId="2714"/>
    <tableColumn id="14" name="14" dataDxfId="2713"/>
    <tableColumn id="15" name="15" dataDxfId="2712"/>
    <tableColumn id="16" name="16" dataDxfId="2711"/>
    <tableColumn id="17" name="17" dataDxfId="2710"/>
    <tableColumn id="18" name="18" dataDxfId="2709"/>
    <tableColumn id="19" name="19" dataDxfId="2708"/>
    <tableColumn id="20" name="20" dataDxfId="2707"/>
    <tableColumn id="21" name="21" dataDxfId="2706"/>
    <tableColumn id="22" name="22" dataDxfId="2705"/>
    <tableColumn id="23" name="23" dataDxfId="2704"/>
    <tableColumn id="24" name="24" dataDxfId="2703"/>
    <tableColumn id="25" name="25" dataDxfId="2702"/>
    <tableColumn id="26" name="26" dataDxfId="2701"/>
    <tableColumn id="27" name="27" dataDxfId="2700"/>
    <tableColumn id="28" name="28" dataDxfId="2699"/>
    <tableColumn id="29" name="29" dataDxfId="2698"/>
    <tableColumn id="30" name="30" dataDxfId="2697"/>
    <tableColumn id="31" name="31" dataDxfId="2696"/>
  </tableColumns>
  <tableStyleInfo name="TableStyleMedium9" showFirstColumn="0" showLastColumn="0" showRowStripes="1" showColumnStripes="0"/>
</table>
</file>

<file path=xl/tables/table309.xml><?xml version="1.0" encoding="utf-8"?>
<table xmlns="http://schemas.openxmlformats.org/spreadsheetml/2006/main" id="283" name="Tabela16405860284" displayName="Tabela16405860284" ref="B230:G239" headerRowCount="0" totalsRowShown="0">
  <tableColumns count="6">
    <tableColumn id="1" name="Kolumna1" dataDxfId="2695">
      <calculatedColumnFormula>'Wzorzec kategorii'!B192</calculatedColumnFormula>
    </tableColumn>
    <tableColumn id="2" name="Kolumna2" dataDxfId="2694"/>
    <tableColumn id="3" name="Kolumna3" dataDxfId="2693">
      <calculatedColumnFormula>SUM(Tabela1923455962286[#This Row])</calculatedColumnFormula>
    </tableColumn>
    <tableColumn id="4" name="Kolumna4" dataDxfId="2692">
      <calculatedColumnFormula>C230-D230</calculatedColumnFormula>
    </tableColumn>
    <tableColumn id="5" name="Kolumna5" dataDxfId="2691">
      <calculatedColumnFormula>IFERROR(D230/C230,"")</calculatedColumnFormula>
    </tableColumn>
    <tableColumn id="6" name="Kolumna6" dataDxfId="2690"/>
  </tableColumns>
  <tableStyleInfo name="TableStyleLight9" showFirstColumn="0" showLastColumn="0" showRowStripes="1" showColumnStripes="0"/>
</table>
</file>

<file path=xl/tables/table31.xml><?xml version="1.0" encoding="utf-8"?>
<table xmlns="http://schemas.openxmlformats.org/spreadsheetml/2006/main" id="357" name="Tabela933358" displayName="Tabela933358" ref="B84:C93" headerRowCount="0" totalsRowShown="0">
  <tableColumns count="2">
    <tableColumn id="1" name="Kolumna1" headerRowDxfId="7885" dataDxfId="7884"/>
    <tableColumn id="2" name="Kolumna2" dataDxfId="7883"/>
  </tableColumns>
  <tableStyleInfo name="TableStyleLight9" showFirstColumn="0" showLastColumn="0" showRowStripes="1" showColumnStripes="0"/>
</table>
</file>

<file path=xl/tables/table310.xml><?xml version="1.0" encoding="utf-8"?>
<table xmlns="http://schemas.openxmlformats.org/spreadsheetml/2006/main" id="284" name="Tabela1640586061285" displayName="Tabela1640586061285" ref="B242:G251" headerRowCount="0" totalsRowShown="0">
  <tableColumns count="6">
    <tableColumn id="1" name="Kolumna1" dataDxfId="2689">
      <calculatedColumnFormula>'Wzorzec kategorii'!B204</calculatedColumnFormula>
    </tableColumn>
    <tableColumn id="2" name="Kolumna2" dataDxfId="2688"/>
    <tableColumn id="3" name="Kolumna3" dataDxfId="2687">
      <calculatedColumnFormula>SUM(Tabela1923455963287[#This Row])</calculatedColumnFormula>
    </tableColumn>
    <tableColumn id="4" name="Kolumna4" dataDxfId="2686">
      <calculatedColumnFormula>C242-D242</calculatedColumnFormula>
    </tableColumn>
    <tableColumn id="5" name="Kolumna5" dataDxfId="2685">
      <calculatedColumnFormula>IFERROR(D242/C242,"")</calculatedColumnFormula>
    </tableColumn>
    <tableColumn id="6" name="Kolumna6" dataDxfId="2684"/>
  </tableColumns>
  <tableStyleInfo name="TableStyleLight9" showFirstColumn="0" showLastColumn="0" showRowStripes="1" showColumnStripes="0"/>
</table>
</file>

<file path=xl/tables/table311.xml><?xml version="1.0" encoding="utf-8"?>
<table xmlns="http://schemas.openxmlformats.org/spreadsheetml/2006/main" id="285" name="Tabela1923455962286" displayName="Tabela1923455962286" ref="I229:AM239" totalsRowShown="0" headerRowDxfId="2683" dataDxfId="2681" headerRowBorderDxfId="2682">
  <autoFilter ref="I229:AM2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680"/>
    <tableColumn id="2" name="2" dataDxfId="2679"/>
    <tableColumn id="3" name="3" dataDxfId="2678"/>
    <tableColumn id="4" name="4" dataDxfId="2677"/>
    <tableColumn id="5" name="5" dataDxfId="2676"/>
    <tableColumn id="6" name="6" dataDxfId="2675"/>
    <tableColumn id="7" name="7" dataDxfId="2674"/>
    <tableColumn id="8" name="8" dataDxfId="2673"/>
    <tableColumn id="9" name="9" dataDxfId="2672"/>
    <tableColumn id="10" name="10" dataDxfId="2671"/>
    <tableColumn id="11" name="11" dataDxfId="2670"/>
    <tableColumn id="12" name="12" dataDxfId="2669"/>
    <tableColumn id="13" name="13" dataDxfId="2668"/>
    <tableColumn id="14" name="14" dataDxfId="2667"/>
    <tableColumn id="15" name="15" dataDxfId="2666"/>
    <tableColumn id="16" name="16" dataDxfId="2665"/>
    <tableColumn id="17" name="17" dataDxfId="2664"/>
    <tableColumn id="18" name="18" dataDxfId="2663"/>
    <tableColumn id="19" name="19" dataDxfId="2662"/>
    <tableColumn id="20" name="20" dataDxfId="2661"/>
    <tableColumn id="21" name="21" dataDxfId="2660"/>
    <tableColumn id="22" name="22" dataDxfId="2659"/>
    <tableColumn id="23" name="23" dataDxfId="2658"/>
    <tableColumn id="24" name="24" dataDxfId="2657"/>
    <tableColumn id="25" name="25" dataDxfId="2656"/>
    <tableColumn id="26" name="26" dataDxfId="2655"/>
    <tableColumn id="27" name="27" dataDxfId="2654"/>
    <tableColumn id="28" name="28" dataDxfId="2653"/>
    <tableColumn id="29" name="29" dataDxfId="2652"/>
    <tableColumn id="30" name="30" dataDxfId="2651"/>
    <tableColumn id="31" name="31" dataDxfId="2650"/>
  </tableColumns>
  <tableStyleInfo name="TableStyleMedium9" showFirstColumn="0" showLastColumn="0" showRowStripes="1" showColumnStripes="0"/>
</table>
</file>

<file path=xl/tables/table312.xml><?xml version="1.0" encoding="utf-8"?>
<table xmlns="http://schemas.openxmlformats.org/spreadsheetml/2006/main" id="286" name="Tabela1923455963287" displayName="Tabela1923455963287" ref="I241:AM251" totalsRowShown="0" headerRowDxfId="2649" dataDxfId="2647" headerRowBorderDxfId="2648">
  <autoFilter ref="I241:AM25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646"/>
    <tableColumn id="2" name="2" dataDxfId="2645"/>
    <tableColumn id="3" name="3" dataDxfId="2644"/>
    <tableColumn id="4" name="4" dataDxfId="2643"/>
    <tableColumn id="5" name="5" dataDxfId="2642"/>
    <tableColumn id="6" name="6" dataDxfId="2641"/>
    <tableColumn id="7" name="7" dataDxfId="2640"/>
    <tableColumn id="8" name="8" dataDxfId="2639"/>
    <tableColumn id="9" name="9" dataDxfId="2638"/>
    <tableColumn id="10" name="10" dataDxfId="2637"/>
    <tableColumn id="11" name="11" dataDxfId="2636"/>
    <tableColumn id="12" name="12" dataDxfId="2635"/>
    <tableColumn id="13" name="13" dataDxfId="2634"/>
    <tableColumn id="14" name="14" dataDxfId="2633"/>
    <tableColumn id="15" name="15" dataDxfId="2632"/>
    <tableColumn id="16" name="16" dataDxfId="2631"/>
    <tableColumn id="17" name="17" dataDxfId="2630"/>
    <tableColumn id="18" name="18" dataDxfId="2629"/>
    <tableColumn id="19" name="19" dataDxfId="2628"/>
    <tableColumn id="20" name="20" dataDxfId="2627"/>
    <tableColumn id="21" name="21" dataDxfId="2626"/>
    <tableColumn id="22" name="22" dataDxfId="2625"/>
    <tableColumn id="23" name="23" dataDxfId="2624"/>
    <tableColumn id="24" name="24" dataDxfId="2623"/>
    <tableColumn id="25" name="25" dataDxfId="2622"/>
    <tableColumn id="26" name="26" dataDxfId="2621"/>
    <tableColumn id="27" name="27" dataDxfId="2620"/>
    <tableColumn id="28" name="28" dataDxfId="2619"/>
    <tableColumn id="29" name="29" dataDxfId="2618"/>
    <tableColumn id="30" name="30" dataDxfId="2617"/>
    <tableColumn id="31" name="31" dataDxfId="2616"/>
  </tableColumns>
  <tableStyleInfo name="TableStyleMedium9" showFirstColumn="0" showLastColumn="0" showRowStripes="1" showColumnStripes="0"/>
</table>
</file>

<file path=xl/tables/table313.xml><?xml version="1.0" encoding="utf-8"?>
<table xmlns="http://schemas.openxmlformats.org/spreadsheetml/2006/main" id="287" name="Tabela33064288" displayName="Tabela33064288" ref="I51:AM66" totalsRowShown="0" headerRowDxfId="2615">
  <autoFilter ref="I51:AM6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614"/>
    <tableColumn id="2" name="2" dataDxfId="2613"/>
    <tableColumn id="3" name="3" dataDxfId="2612"/>
    <tableColumn id="4" name="4" dataDxfId="2611"/>
    <tableColumn id="5" name="5" dataDxfId="2610"/>
    <tableColumn id="6" name="6" dataDxfId="2609"/>
    <tableColumn id="7" name="7" dataDxfId="2608"/>
    <tableColumn id="8" name="8" dataDxfId="2607"/>
    <tableColumn id="9" name="9" dataDxfId="2606"/>
    <tableColumn id="10" name="10" dataDxfId="2605"/>
    <tableColumn id="11" name="11" dataDxfId="2604"/>
    <tableColumn id="12" name="12" dataDxfId="2603"/>
    <tableColumn id="13" name="13" dataDxfId="2602"/>
    <tableColumn id="14" name="14" dataDxfId="2601"/>
    <tableColumn id="15" name="15" dataDxfId="2600"/>
    <tableColumn id="16" name="16" dataDxfId="2599"/>
    <tableColumn id="17" name="17" dataDxfId="2598"/>
    <tableColumn id="18" name="18" dataDxfId="2597"/>
    <tableColumn id="19" name="19" dataDxfId="2596"/>
    <tableColumn id="20" name="20" dataDxfId="2595"/>
    <tableColumn id="21" name="21" dataDxfId="2594"/>
    <tableColumn id="22" name="22" dataDxfId="2593"/>
    <tableColumn id="23" name="23" dataDxfId="2592"/>
    <tableColumn id="24" name="24" dataDxfId="2591"/>
    <tableColumn id="25" name="25" dataDxfId="2590"/>
    <tableColumn id="26" name="26" dataDxfId="2589"/>
    <tableColumn id="27" name="27" dataDxfId="2588"/>
    <tableColumn id="28" name="28" dataDxfId="2587"/>
    <tableColumn id="29" name="29" dataDxfId="2586"/>
    <tableColumn id="30" name="30" dataDxfId="2585"/>
    <tableColumn id="31" name="31" dataDxfId="2584"/>
  </tableColumns>
  <tableStyleInfo name="TableStyleMedium9" showFirstColumn="0" showLastColumn="0" showRowStripes="1" showColumnStripes="0"/>
</table>
</file>

<file path=xl/tables/table314.xml><?xml version="1.0" encoding="utf-8"?>
<table xmlns="http://schemas.openxmlformats.org/spreadsheetml/2006/main" id="288" name="Jedzenie2289" displayName="Jedzenie2289" ref="B74:G83" headerRowCount="0" totalsRowShown="0" headerRowDxfId="2583" dataDxfId="2582">
  <tableColumns count="6">
    <tableColumn id="1" name="Kategoria" dataDxfId="2581">
      <calculatedColumnFormula>'Wzorzec kategorii'!B36</calculatedColumnFormula>
    </tableColumn>
    <tableColumn id="2" name="0" headerRowDxfId="2580" dataDxfId="2579"/>
    <tableColumn id="3" name="02" headerRowDxfId="2578" dataDxfId="2577">
      <calculatedColumnFormula>SUM(Tabela330292[#This Row])</calculatedColumnFormula>
    </tableColumn>
    <tableColumn id="4" name="Kolumna4" dataDxfId="2576">
      <calculatedColumnFormula>C74-D74</calculatedColumnFormula>
    </tableColumn>
    <tableColumn id="5" name="Kolumna1" dataDxfId="2575">
      <calculatedColumnFormula>IFERROR(D74/C74,"")</calculatedColumnFormula>
    </tableColumn>
    <tableColumn id="6" name="Kolumna2" dataDxfId="2574"/>
  </tableColumns>
  <tableStyleInfo name="TableStyleLight9" showFirstColumn="0" showLastColumn="0" showRowStripes="1" showColumnStripes="0"/>
</table>
</file>

<file path=xl/tables/table315.xml><?xml version="1.0" encoding="utf-8"?>
<table xmlns="http://schemas.openxmlformats.org/spreadsheetml/2006/main" id="289" name="Transport3290" displayName="Transport3290" ref="B98:G107" headerRowCount="0" totalsRowShown="0">
  <tableColumns count="6">
    <tableColumn id="1" name="Kolumna1" dataDxfId="2573">
      <calculatedColumnFormula>'Wzorzec kategorii'!B60</calculatedColumnFormula>
    </tableColumn>
    <tableColumn id="2" name="Kolumna2" dataDxfId="2572"/>
    <tableColumn id="3" name="Kolumna3" dataDxfId="2571">
      <calculatedColumnFormula>SUM(Tabela1942304[#This Row])</calculatedColumnFormula>
    </tableColumn>
    <tableColumn id="4" name="Kolumna4" dataDxfId="2570">
      <calculatedColumnFormula>C98-D98</calculatedColumnFormula>
    </tableColumn>
    <tableColumn id="5" name="Kolumna5" dataDxfId="2569">
      <calculatedColumnFormula>IFERROR(D98/C98,"")</calculatedColumnFormula>
    </tableColumn>
    <tableColumn id="6" name="Kolumna6" dataDxfId="2568"/>
  </tableColumns>
  <tableStyleInfo name="TableStyleLight9" showFirstColumn="0" showLastColumn="0" showRowStripes="1" showColumnStripes="0"/>
</table>
</file>

<file path=xl/tables/table316.xml><?xml version="1.0" encoding="utf-8"?>
<table xmlns="http://schemas.openxmlformats.org/spreadsheetml/2006/main" id="290" name="Tabela718291" displayName="Tabela718291" ref="B52:G66" headerRowCount="0" totalsRowShown="0" headerRowDxfId="2567" dataDxfId="2566">
  <tableColumns count="6">
    <tableColumn id="1" name="Kolumna1" dataDxfId="2565">
      <calculatedColumnFormula>'Wzorzec kategorii'!B15</calculatedColumnFormula>
    </tableColumn>
    <tableColumn id="2" name="Kolumna2" dataDxfId="2564"/>
    <tableColumn id="3" name="Kolumna3" dataDxfId="2563">
      <calculatedColumnFormula>SUM(Tabela33064320[#This Row])</calculatedColumnFormula>
    </tableColumn>
    <tableColumn id="4" name="Kolumna4" dataDxfId="2562">
      <calculatedColumnFormula>Tabela718291[[#This Row],[Kolumna3]]-Tabela718291[[#This Row],[Kolumna2]]</calculatedColumnFormula>
    </tableColumn>
    <tableColumn id="5" name="Kolumna5" dataDxfId="2561" dataCellStyle="Procentowy">
      <calculatedColumnFormula>IFERROR(D52/C52,"")</calculatedColumnFormula>
    </tableColumn>
    <tableColumn id="6" name="Kolumna6" dataDxfId="2560"/>
  </tableColumns>
  <tableStyleInfo name="TableStyleLight9" showFirstColumn="0" showLastColumn="0" showRowStripes="1" showColumnStripes="0"/>
</table>
</file>

<file path=xl/tables/table317.xml><?xml version="1.0" encoding="utf-8"?>
<table xmlns="http://schemas.openxmlformats.org/spreadsheetml/2006/main" id="291" name="Tabela330292" displayName="Tabela330292" ref="I73:AM83" totalsRowShown="0" headerRowDxfId="2559">
  <autoFilter ref="I73:AM8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558"/>
    <tableColumn id="2" name="2" dataDxfId="2557"/>
    <tableColumn id="3" name="3" dataDxfId="2556"/>
    <tableColumn id="4" name="4" dataDxfId="2555"/>
    <tableColumn id="5" name="5" dataDxfId="2554"/>
    <tableColumn id="6" name="6" dataDxfId="2553"/>
    <tableColumn id="7" name="7" dataDxfId="2552"/>
    <tableColumn id="8" name="8" dataDxfId="2551"/>
    <tableColumn id="9" name="9" dataDxfId="2550"/>
    <tableColumn id="10" name="10" dataDxfId="2549"/>
    <tableColumn id="11" name="11" dataDxfId="2548"/>
    <tableColumn id="12" name="12" dataDxfId="2547"/>
    <tableColumn id="13" name="13" dataDxfId="2546"/>
    <tableColumn id="14" name="14" dataDxfId="2545"/>
    <tableColumn id="15" name="15" dataDxfId="2544"/>
    <tableColumn id="16" name="16" dataDxfId="2543"/>
    <tableColumn id="17" name="17" dataDxfId="2542"/>
    <tableColumn id="18" name="18" dataDxfId="2541"/>
    <tableColumn id="19" name="19" dataDxfId="2540"/>
    <tableColumn id="20" name="20" dataDxfId="2539"/>
    <tableColumn id="21" name="21" dataDxfId="2538"/>
    <tableColumn id="22" name="22" dataDxfId="2537"/>
    <tableColumn id="23" name="23" dataDxfId="2536"/>
    <tableColumn id="24" name="24" dataDxfId="2535"/>
    <tableColumn id="25" name="25" dataDxfId="2534"/>
    <tableColumn id="26" name="26" dataDxfId="2533"/>
    <tableColumn id="27" name="27" dataDxfId="2532"/>
    <tableColumn id="28" name="28" dataDxfId="2531"/>
    <tableColumn id="29" name="29" dataDxfId="2530"/>
    <tableColumn id="30" name="30" dataDxfId="2529"/>
    <tableColumn id="31" name="31" dataDxfId="2528"/>
  </tableColumns>
  <tableStyleInfo name="TableStyleMedium9" showFirstColumn="0" showLastColumn="0" showRowStripes="1" showColumnStripes="0"/>
</table>
</file>

<file path=xl/tables/table318.xml><?xml version="1.0" encoding="utf-8"?>
<table xmlns="http://schemas.openxmlformats.org/spreadsheetml/2006/main" id="292" name="Tabela431293" displayName="Tabela431293" ref="B86:G95" headerRowCount="0" totalsRowShown="0" headerRowDxfId="2527">
  <tableColumns count="6">
    <tableColumn id="1" name="Kolumna1" dataDxfId="2526">
      <calculatedColumnFormula>'Wzorzec kategorii'!B48</calculatedColumnFormula>
    </tableColumn>
    <tableColumn id="2" name="Kolumna2" headerRowDxfId="2525" dataDxfId="2524"/>
    <tableColumn id="3" name="Kolumna3" headerRowDxfId="2523" dataDxfId="2522">
      <calculatedColumnFormula>SUM(Tabela1841303[#This Row])</calculatedColumnFormula>
    </tableColumn>
    <tableColumn id="4" name="Kolumna4" headerRowDxfId="2521" dataDxfId="2520">
      <calculatedColumnFormula>C86-D86</calculatedColumnFormula>
    </tableColumn>
    <tableColumn id="5" name="Kolumna5" headerRowDxfId="2519" dataDxfId="2518">
      <calculatedColumnFormula>IFERROR(D86/C86,"")</calculatedColumnFormula>
    </tableColumn>
    <tableColumn id="6" name="Kolumna6" headerRowDxfId="2517" dataDxfId="2516"/>
  </tableColumns>
  <tableStyleInfo name="TableStyleLight9" showFirstColumn="0" showLastColumn="0" showRowStripes="1" showColumnStripes="0"/>
</table>
</file>

<file path=xl/tables/table319.xml><?xml version="1.0" encoding="utf-8"?>
<table xmlns="http://schemas.openxmlformats.org/spreadsheetml/2006/main" id="293" name="Tabela832294" displayName="Tabela832294" ref="B110:G119" headerRowCount="0" totalsRowShown="0">
  <tableColumns count="6">
    <tableColumn id="1" name="Kolumna1" headerRowDxfId="2515" dataDxfId="2514">
      <calculatedColumnFormula>'Wzorzec kategorii'!B72</calculatedColumnFormula>
    </tableColumn>
    <tableColumn id="2" name="Kolumna2" dataDxfId="2513"/>
    <tableColumn id="3" name="Kolumna3" dataDxfId="2512">
      <calculatedColumnFormula>SUM(Tabela192143305[#This Row])</calculatedColumnFormula>
    </tableColumn>
    <tableColumn id="4" name="Kolumna4" dataDxfId="2511">
      <calculatedColumnFormula>C110-D110</calculatedColumnFormula>
    </tableColumn>
    <tableColumn id="5" name="Kolumna5" dataDxfId="2510">
      <calculatedColumnFormula>IFERROR(D110/C110,"")</calculatedColumnFormula>
    </tableColumn>
    <tableColumn id="6" name="Kolumna6" dataDxfId="2509"/>
  </tableColumns>
  <tableStyleInfo name="TableStyleLight9" showFirstColumn="0" showLastColumn="0" showRowStripes="1" showColumnStripes="0"/>
</table>
</file>

<file path=xl/tables/table32.xml><?xml version="1.0" encoding="utf-8"?>
<table xmlns="http://schemas.openxmlformats.org/spreadsheetml/2006/main" id="358" name="Tabela1034359" displayName="Tabela1034359" ref="B96:C105" headerRowCount="0" totalsRowShown="0">
  <tableColumns count="2">
    <tableColumn id="1" name="Kolumna1" headerRowDxfId="7882" dataDxfId="7881"/>
    <tableColumn id="2" name="Kolumna2" dataDxfId="7880"/>
  </tableColumns>
  <tableStyleInfo name="TableStyleLight9" showFirstColumn="0" showLastColumn="0" showRowStripes="1" showColumnStripes="0"/>
</table>
</file>

<file path=xl/tables/table320.xml><?xml version="1.0" encoding="utf-8"?>
<table xmlns="http://schemas.openxmlformats.org/spreadsheetml/2006/main" id="294" name="Tabela933295" displayName="Tabela933295" ref="B122:G131" headerRowCount="0" totalsRowShown="0">
  <tableColumns count="6">
    <tableColumn id="1" name="Kolumna1" headerRowDxfId="2508" dataDxfId="2507">
      <calculatedColumnFormula>'Wzorzec kategorii'!B84</calculatedColumnFormula>
    </tableColumn>
    <tableColumn id="2" name="Kolumna2" dataDxfId="2506"/>
    <tableColumn id="3" name="Kolumna3" dataDxfId="2505">
      <calculatedColumnFormula>SUM(Tabela19212547309[#This Row])</calculatedColumnFormula>
    </tableColumn>
    <tableColumn id="4" name="Kolumna4" dataDxfId="2504">
      <calculatedColumnFormula>C122-D122</calculatedColumnFormula>
    </tableColumn>
    <tableColumn id="5" name="Kolumna5" dataDxfId="2503">
      <calculatedColumnFormula>IFERROR(D122/C122,"")</calculatedColumnFormula>
    </tableColumn>
    <tableColumn id="6" name="Kolumna6" dataDxfId="2502"/>
  </tableColumns>
  <tableStyleInfo name="TableStyleLight9" showFirstColumn="0" showLastColumn="0" showRowStripes="1" showColumnStripes="0"/>
</table>
</file>

<file path=xl/tables/table321.xml><?xml version="1.0" encoding="utf-8"?>
<table xmlns="http://schemas.openxmlformats.org/spreadsheetml/2006/main" id="295" name="Tabela1034296" displayName="Tabela1034296" ref="B134:G143" headerRowCount="0" totalsRowShown="0">
  <tableColumns count="6">
    <tableColumn id="1" name="Kolumna1" headerRowDxfId="2501" dataDxfId="2500">
      <calculatedColumnFormula>'Wzorzec kategorii'!B96</calculatedColumnFormula>
    </tableColumn>
    <tableColumn id="2" name="Kolumna2" dataDxfId="2499"/>
    <tableColumn id="3" name="Kolumna3" dataDxfId="2498">
      <calculatedColumnFormula>SUM(Tabela19212446308[#This Row])</calculatedColumnFormula>
    </tableColumn>
    <tableColumn id="4" name="Kolumna4" dataDxfId="2497">
      <calculatedColumnFormula>C134-D134</calculatedColumnFormula>
    </tableColumn>
    <tableColumn id="5" name="Kolumna5" dataDxfId="2496">
      <calculatedColumnFormula>IFERROR(D134/C134,"")</calculatedColumnFormula>
    </tableColumn>
    <tableColumn id="6" name="Kolumna6" dataDxfId="2495"/>
  </tableColumns>
  <tableStyleInfo name="TableStyleLight9" showFirstColumn="0" showLastColumn="0" showRowStripes="1" showColumnStripes="0"/>
</table>
</file>

<file path=xl/tables/table322.xml><?xml version="1.0" encoding="utf-8"?>
<table xmlns="http://schemas.openxmlformats.org/spreadsheetml/2006/main" id="296" name="Tabela1135297" displayName="Tabela1135297" ref="B146:G155" headerRowCount="0" totalsRowShown="0">
  <tableColumns count="6">
    <tableColumn id="1" name="Kolumna1" dataDxfId="2494">
      <calculatedColumnFormula>'Wzorzec kategorii'!B108</calculatedColumnFormula>
    </tableColumn>
    <tableColumn id="2" name="Kolumna2" dataDxfId="2493"/>
    <tableColumn id="3" name="Kolumna3" dataDxfId="2492">
      <calculatedColumnFormula>SUM(Tabela192244306[#This Row])</calculatedColumnFormula>
    </tableColumn>
    <tableColumn id="4" name="Kolumna4" dataDxfId="2491">
      <calculatedColumnFormula>C146-D146</calculatedColumnFormula>
    </tableColumn>
    <tableColumn id="5" name="Kolumna5" dataDxfId="2490">
      <calculatedColumnFormula>IFERROR(D146/C146,"")</calculatedColumnFormula>
    </tableColumn>
    <tableColumn id="6" name="Kolumna6" dataDxfId="2489"/>
  </tableColumns>
  <tableStyleInfo name="TableStyleLight9" showFirstColumn="0" showLastColumn="0" showRowStripes="1" showColumnStripes="0"/>
</table>
</file>

<file path=xl/tables/table323.xml><?xml version="1.0" encoding="utf-8"?>
<table xmlns="http://schemas.openxmlformats.org/spreadsheetml/2006/main" id="297" name="Tabela1236298" displayName="Tabela1236298" ref="B158:G167" headerRowCount="0" totalsRowShown="0">
  <tableColumns count="6">
    <tableColumn id="1" name="Kolumna1" dataDxfId="2488">
      <calculatedColumnFormula>'Wzorzec kategorii'!B120</calculatedColumnFormula>
    </tableColumn>
    <tableColumn id="2" name="Kolumna2" dataDxfId="2487"/>
    <tableColumn id="3" name="Kolumna3" dataDxfId="2486">
      <calculatedColumnFormula>SUM(Tabela2548310[#This Row])</calculatedColumnFormula>
    </tableColumn>
    <tableColumn id="4" name="Kolumna4" dataDxfId="2485">
      <calculatedColumnFormula>C158-D158</calculatedColumnFormula>
    </tableColumn>
    <tableColumn id="5" name="Kolumna5" dataDxfId="2484">
      <calculatedColumnFormula>IFERROR(D158/C158,"")</calculatedColumnFormula>
    </tableColumn>
    <tableColumn id="6" name="Kolumna6"/>
  </tableColumns>
  <tableStyleInfo name="TableStyleLight9" showFirstColumn="0" showLastColumn="0" showRowStripes="1" showColumnStripes="0"/>
</table>
</file>

<file path=xl/tables/table324.xml><?xml version="1.0" encoding="utf-8"?>
<table xmlns="http://schemas.openxmlformats.org/spreadsheetml/2006/main" id="298" name="Tabela1337299" displayName="Tabela1337299" ref="B170:G179" headerRowCount="0" totalsRowShown="0">
  <tableColumns count="6">
    <tableColumn id="1" name="Kolumna1" dataDxfId="2483">
      <calculatedColumnFormula>'Wzorzec kategorii'!B132</calculatedColumnFormula>
    </tableColumn>
    <tableColumn id="2" name="Kolumna2" dataDxfId="2482"/>
    <tableColumn id="3" name="Kolumna3" dataDxfId="2481">
      <calculatedColumnFormula>SUM(Tabela2649311[#This Row])</calculatedColumnFormula>
    </tableColumn>
    <tableColumn id="4" name="Kolumna4" dataDxfId="2480">
      <calculatedColumnFormula>C170-D170</calculatedColumnFormula>
    </tableColumn>
    <tableColumn id="5" name="Kolumna5" dataDxfId="2479">
      <calculatedColumnFormula>IFERROR(D170/C170,"")</calculatedColumnFormula>
    </tableColumn>
    <tableColumn id="6" name="Kolumna6" dataDxfId="2478"/>
  </tableColumns>
  <tableStyleInfo name="TableStyleLight9" showFirstColumn="0" showLastColumn="0" showRowStripes="1" showColumnStripes="0"/>
</table>
</file>

<file path=xl/tables/table325.xml><?xml version="1.0" encoding="utf-8"?>
<table xmlns="http://schemas.openxmlformats.org/spreadsheetml/2006/main" id="299" name="Tabela1438300" displayName="Tabela1438300" ref="B182:G191" headerRowCount="0" totalsRowShown="0">
  <tableColumns count="6">
    <tableColumn id="1" name="Kolumna1" dataDxfId="2477">
      <calculatedColumnFormula>'Wzorzec kategorii'!B144</calculatedColumnFormula>
    </tableColumn>
    <tableColumn id="2" name="Kolumna2" dataDxfId="2476"/>
    <tableColumn id="3" name="Kolumna3" dataDxfId="2475">
      <calculatedColumnFormula>SUM(Tabela2750312[#This Row])</calculatedColumnFormula>
    </tableColumn>
    <tableColumn id="4" name="Kolumna4" dataDxfId="2474">
      <calculatedColumnFormula>C182-D182</calculatedColumnFormula>
    </tableColumn>
    <tableColumn id="5" name="Kolumna5" dataDxfId="2473">
      <calculatedColumnFormula>IFERROR(D182/C182,"")</calculatedColumnFormula>
    </tableColumn>
    <tableColumn id="6" name="Kolumna6" dataDxfId="2472"/>
  </tableColumns>
  <tableStyleInfo name="TableStyleLight9" showFirstColumn="0" showLastColumn="0" showRowStripes="1" showColumnStripes="0"/>
</table>
</file>

<file path=xl/tables/table326.xml><?xml version="1.0" encoding="utf-8"?>
<table xmlns="http://schemas.openxmlformats.org/spreadsheetml/2006/main" id="300" name="Tabela1539301" displayName="Tabela1539301" ref="B194:G203" headerRowCount="0" totalsRowShown="0">
  <tableColumns count="6">
    <tableColumn id="1" name="Kolumna1" dataDxfId="2471">
      <calculatedColumnFormula>'Wzorzec kategorii'!B156</calculatedColumnFormula>
    </tableColumn>
    <tableColumn id="2" name="Kolumna2" dataDxfId="2470"/>
    <tableColumn id="3" name="Kolumna3" dataDxfId="2469">
      <calculatedColumnFormula>SUM(Tabela2851313[#This Row])</calculatedColumnFormula>
    </tableColumn>
    <tableColumn id="4" name="Kolumna4" dataDxfId="2468">
      <calculatedColumnFormula>C194-D194</calculatedColumnFormula>
    </tableColumn>
    <tableColumn id="5" name="Kolumna5" dataDxfId="2467">
      <calculatedColumnFormula>IFERROR(D194/C194,"")</calculatedColumnFormula>
    </tableColumn>
    <tableColumn id="6" name="Kolumna6" dataDxfId="2466"/>
  </tableColumns>
  <tableStyleInfo name="TableStyleLight9" showFirstColumn="0" showLastColumn="0" showRowStripes="1" showColumnStripes="0"/>
</table>
</file>

<file path=xl/tables/table327.xml><?xml version="1.0" encoding="utf-8"?>
<table xmlns="http://schemas.openxmlformats.org/spreadsheetml/2006/main" id="301" name="Tabela1640302" displayName="Tabela1640302" ref="B206:G215" headerRowCount="0" totalsRowShown="0">
  <tableColumns count="6">
    <tableColumn id="1" name="Kolumna1" dataDxfId="2465">
      <calculatedColumnFormula>'Wzorzec kategorii'!B168</calculatedColumnFormula>
    </tableColumn>
    <tableColumn id="2" name="Kolumna2" dataDxfId="2464"/>
    <tableColumn id="3" name="Kolumna3" dataDxfId="2463">
      <calculatedColumnFormula>SUM(Tabela192345307[#This Row])</calculatedColumnFormula>
    </tableColumn>
    <tableColumn id="4" name="Kolumna4" dataDxfId="2462">
      <calculatedColumnFormula>C206-D206</calculatedColumnFormula>
    </tableColumn>
    <tableColumn id="5" name="Kolumna5" dataDxfId="2461">
      <calculatedColumnFormula>IFERROR(D206/C206,"")</calculatedColumnFormula>
    </tableColumn>
    <tableColumn id="6" name="Kolumna6" dataDxfId="2460"/>
  </tableColumns>
  <tableStyleInfo name="TableStyleLight9" showFirstColumn="0" showLastColumn="0" showRowStripes="1" showColumnStripes="0"/>
</table>
</file>

<file path=xl/tables/table328.xml><?xml version="1.0" encoding="utf-8"?>
<table xmlns="http://schemas.openxmlformats.org/spreadsheetml/2006/main" id="302" name="Tabela1841303" displayName="Tabela1841303" ref="I85:AM95" totalsRowShown="0" headerRowDxfId="2459" dataDxfId="2457" headerRowBorderDxfId="2458">
  <autoFilter ref="I85:AM9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456"/>
    <tableColumn id="2" name="2" dataDxfId="2455"/>
    <tableColumn id="3" name="3" dataDxfId="2454"/>
    <tableColumn id="4" name="4" dataDxfId="2453"/>
    <tableColumn id="5" name="5" dataDxfId="2452"/>
    <tableColumn id="6" name="6" dataDxfId="2451"/>
    <tableColumn id="7" name="7" dataDxfId="2450"/>
    <tableColumn id="8" name="8" dataDxfId="2449"/>
    <tableColumn id="9" name="9" dataDxfId="2448"/>
    <tableColumn id="10" name="10" dataDxfId="2447"/>
    <tableColumn id="11" name="11" dataDxfId="2446"/>
    <tableColumn id="12" name="12" dataDxfId="2445"/>
    <tableColumn id="13" name="13" dataDxfId="2444"/>
    <tableColumn id="14" name="14" dataDxfId="2443"/>
    <tableColumn id="15" name="15" dataDxfId="2442"/>
    <tableColumn id="16" name="16" dataDxfId="2441"/>
    <tableColumn id="17" name="17" dataDxfId="2440"/>
    <tableColumn id="18" name="18" dataDxfId="2439"/>
    <tableColumn id="19" name="19" dataDxfId="2438"/>
    <tableColumn id="20" name="20" dataDxfId="2437"/>
    <tableColumn id="21" name="21" dataDxfId="2436"/>
    <tableColumn id="22" name="22" dataDxfId="2435"/>
    <tableColumn id="23" name="23" dataDxfId="2434"/>
    <tableColumn id="24" name="24" dataDxfId="2433"/>
    <tableColumn id="25" name="25" dataDxfId="2432"/>
    <tableColumn id="26" name="26" dataDxfId="2431"/>
    <tableColumn id="27" name="27" dataDxfId="2430"/>
    <tableColumn id="28" name="28" dataDxfId="2429"/>
    <tableColumn id="29" name="29" dataDxfId="2428"/>
    <tableColumn id="30" name="30" dataDxfId="2427"/>
    <tableColumn id="31" name="31" dataDxfId="2426"/>
  </tableColumns>
  <tableStyleInfo name="TableStyleMedium9" showFirstColumn="0" showLastColumn="0" showRowStripes="1" showColumnStripes="0"/>
</table>
</file>

<file path=xl/tables/table329.xml><?xml version="1.0" encoding="utf-8"?>
<table xmlns="http://schemas.openxmlformats.org/spreadsheetml/2006/main" id="303" name="Tabela1942304" displayName="Tabela1942304" ref="I97:AM107" totalsRowShown="0" headerRowDxfId="2425" dataDxfId="2423" headerRowBorderDxfId="2424">
  <autoFilter ref="I97:AM10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422"/>
    <tableColumn id="2" name="2" dataDxfId="2421"/>
    <tableColumn id="3" name="3" dataDxfId="2420"/>
    <tableColumn id="4" name="4" dataDxfId="2419"/>
    <tableColumn id="5" name="5" dataDxfId="2418"/>
    <tableColumn id="6" name="6" dataDxfId="2417"/>
    <tableColumn id="7" name="7" dataDxfId="2416"/>
    <tableColumn id="8" name="8" dataDxfId="2415"/>
    <tableColumn id="9" name="9" dataDxfId="2414"/>
    <tableColumn id="10" name="10" dataDxfId="2413"/>
    <tableColumn id="11" name="11" dataDxfId="2412"/>
    <tableColumn id="12" name="12" dataDxfId="2411"/>
    <tableColumn id="13" name="13" dataDxfId="2410"/>
    <tableColumn id="14" name="14" dataDxfId="2409"/>
    <tableColumn id="15" name="15" dataDxfId="2408"/>
    <tableColumn id="16" name="16" dataDxfId="2407"/>
    <tableColumn id="17" name="17" dataDxfId="2406"/>
    <tableColumn id="18" name="18" dataDxfId="2405"/>
    <tableColumn id="19" name="19" dataDxfId="2404"/>
    <tableColumn id="20" name="20" dataDxfId="2403"/>
    <tableColumn id="21" name="21" dataDxfId="2402"/>
    <tableColumn id="22" name="22" dataDxfId="2401"/>
    <tableColumn id="23" name="23" dataDxfId="2400"/>
    <tableColumn id="24" name="24" dataDxfId="2399"/>
    <tableColumn id="25" name="25" dataDxfId="2398"/>
    <tableColumn id="26" name="26" dataDxfId="2397"/>
    <tableColumn id="27" name="27" dataDxfId="2396"/>
    <tableColumn id="28" name="28" dataDxfId="2395"/>
    <tableColumn id="29" name="29" dataDxfId="2394"/>
    <tableColumn id="30" name="30" dataDxfId="2393"/>
    <tableColumn id="31" name="31" dataDxfId="2392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59" name="Tabela1135360" displayName="Tabela1135360" ref="B108:C117" headerRowCount="0" totalsRowShown="0">
  <tableColumns count="2">
    <tableColumn id="1" name="Kolumna1" dataDxfId="7879"/>
    <tableColumn id="2" name="Kolumna2" dataDxfId="7878"/>
  </tableColumns>
  <tableStyleInfo name="TableStyleLight9" showFirstColumn="0" showLastColumn="0" showRowStripes="1" showColumnStripes="0"/>
</table>
</file>

<file path=xl/tables/table330.xml><?xml version="1.0" encoding="utf-8"?>
<table xmlns="http://schemas.openxmlformats.org/spreadsheetml/2006/main" id="304" name="Tabela192143305" displayName="Tabela192143305" ref="I109:AM119" totalsRowShown="0" headerRowDxfId="2391" dataDxfId="2389" headerRowBorderDxfId="2390">
  <autoFilter ref="I109:AM1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388"/>
    <tableColumn id="2" name="2" dataDxfId="2387"/>
    <tableColumn id="3" name="3" dataDxfId="2386"/>
    <tableColumn id="4" name="4" dataDxfId="2385"/>
    <tableColumn id="5" name="5" dataDxfId="2384"/>
    <tableColumn id="6" name="6" dataDxfId="2383"/>
    <tableColumn id="7" name="7" dataDxfId="2382"/>
    <tableColumn id="8" name="8" dataDxfId="2381"/>
    <tableColumn id="9" name="9" dataDxfId="2380"/>
    <tableColumn id="10" name="10" dataDxfId="2379"/>
    <tableColumn id="11" name="11" dataDxfId="2378"/>
    <tableColumn id="12" name="12" dataDxfId="2377"/>
    <tableColumn id="13" name="13" dataDxfId="2376"/>
    <tableColumn id="14" name="14" dataDxfId="2375"/>
    <tableColumn id="15" name="15" dataDxfId="2374"/>
    <tableColumn id="16" name="16" dataDxfId="2373"/>
    <tableColumn id="17" name="17" dataDxfId="2372"/>
    <tableColumn id="18" name="18" dataDxfId="2371"/>
    <tableColumn id="19" name="19" dataDxfId="2370"/>
    <tableColumn id="20" name="20" dataDxfId="2369"/>
    <tableColumn id="21" name="21" dataDxfId="2368"/>
    <tableColumn id="22" name="22" dataDxfId="2367"/>
    <tableColumn id="23" name="23" dataDxfId="2366"/>
    <tableColumn id="24" name="24" dataDxfId="2365"/>
    <tableColumn id="25" name="25" dataDxfId="2364"/>
    <tableColumn id="26" name="26" dataDxfId="2363"/>
    <tableColumn id="27" name="27" dataDxfId="2362"/>
    <tableColumn id="28" name="28" dataDxfId="2361"/>
    <tableColumn id="29" name="29" dataDxfId="2360"/>
    <tableColumn id="30" name="30" dataDxfId="2359"/>
    <tableColumn id="31" name="31" dataDxfId="2358"/>
  </tableColumns>
  <tableStyleInfo name="TableStyleMedium9" showFirstColumn="0" showLastColumn="0" showRowStripes="1" showColumnStripes="0"/>
</table>
</file>

<file path=xl/tables/table331.xml><?xml version="1.0" encoding="utf-8"?>
<table xmlns="http://schemas.openxmlformats.org/spreadsheetml/2006/main" id="305" name="Tabela192244306" displayName="Tabela192244306" ref="I145:AM155" totalsRowShown="0" headerRowDxfId="2357" dataDxfId="2355" headerRowBorderDxfId="2356">
  <autoFilter ref="I145:AM1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354"/>
    <tableColumn id="2" name="2" dataDxfId="2353"/>
    <tableColumn id="3" name="3" dataDxfId="2352"/>
    <tableColumn id="4" name="4" dataDxfId="2351"/>
    <tableColumn id="5" name="5" dataDxfId="2350"/>
    <tableColumn id="6" name="6" dataDxfId="2349"/>
    <tableColumn id="7" name="7" dataDxfId="2348"/>
    <tableColumn id="8" name="8" dataDxfId="2347"/>
    <tableColumn id="9" name="9" dataDxfId="2346"/>
    <tableColumn id="10" name="10" dataDxfId="2345"/>
    <tableColumn id="11" name="11" dataDxfId="2344"/>
    <tableColumn id="12" name="12" dataDxfId="2343"/>
    <tableColumn id="13" name="13" dataDxfId="2342"/>
    <tableColumn id="14" name="14" dataDxfId="2341"/>
    <tableColumn id="15" name="15" dataDxfId="2340"/>
    <tableColumn id="16" name="16" dataDxfId="2339"/>
    <tableColumn id="17" name="17" dataDxfId="2338"/>
    <tableColumn id="18" name="18" dataDxfId="2337"/>
    <tableColumn id="19" name="19" dataDxfId="2336"/>
    <tableColumn id="20" name="20" dataDxfId="2335"/>
    <tableColumn id="21" name="21" dataDxfId="2334"/>
    <tableColumn id="22" name="22" dataDxfId="2333"/>
    <tableColumn id="23" name="23" dataDxfId="2332"/>
    <tableColumn id="24" name="24" dataDxfId="2331"/>
    <tableColumn id="25" name="25" dataDxfId="2330"/>
    <tableColumn id="26" name="26" dataDxfId="2329"/>
    <tableColumn id="27" name="27" dataDxfId="2328"/>
    <tableColumn id="28" name="28" dataDxfId="2327"/>
    <tableColumn id="29" name="29" dataDxfId="2326"/>
    <tableColumn id="30" name="30" dataDxfId="2325"/>
    <tableColumn id="31" name="31" dataDxfId="2324"/>
  </tableColumns>
  <tableStyleInfo name="TableStyleMedium9" showFirstColumn="0" showLastColumn="0" showRowStripes="1" showColumnStripes="0"/>
</table>
</file>

<file path=xl/tables/table332.xml><?xml version="1.0" encoding="utf-8"?>
<table xmlns="http://schemas.openxmlformats.org/spreadsheetml/2006/main" id="306" name="Tabela192345307" displayName="Tabela192345307" ref="I205:AM215" totalsRowShown="0" headerRowDxfId="2323" dataDxfId="2321" headerRowBorderDxfId="2322">
  <autoFilter ref="I205:AM2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320"/>
    <tableColumn id="2" name="2" dataDxfId="2319"/>
    <tableColumn id="3" name="3" dataDxfId="2318"/>
    <tableColumn id="4" name="4" dataDxfId="2317"/>
    <tableColumn id="5" name="5" dataDxfId="2316"/>
    <tableColumn id="6" name="6" dataDxfId="2315"/>
    <tableColumn id="7" name="7" dataDxfId="2314"/>
    <tableColumn id="8" name="8" dataDxfId="2313"/>
    <tableColumn id="9" name="9" dataDxfId="2312"/>
    <tableColumn id="10" name="10" dataDxfId="2311"/>
    <tableColumn id="11" name="11" dataDxfId="2310"/>
    <tableColumn id="12" name="12" dataDxfId="2309"/>
    <tableColumn id="13" name="13" dataDxfId="2308"/>
    <tableColumn id="14" name="14" dataDxfId="2307"/>
    <tableColumn id="15" name="15" dataDxfId="2306"/>
    <tableColumn id="16" name="16" dataDxfId="2305"/>
    <tableColumn id="17" name="17" dataDxfId="2304"/>
    <tableColumn id="18" name="18" dataDxfId="2303"/>
    <tableColumn id="19" name="19" dataDxfId="2302"/>
    <tableColumn id="20" name="20" dataDxfId="2301"/>
    <tableColumn id="21" name="21" dataDxfId="2300"/>
    <tableColumn id="22" name="22" dataDxfId="2299"/>
    <tableColumn id="23" name="23" dataDxfId="2298"/>
    <tableColumn id="24" name="24" dataDxfId="2297"/>
    <tableColumn id="25" name="25" dataDxfId="2296"/>
    <tableColumn id="26" name="26" dataDxfId="2295"/>
    <tableColumn id="27" name="27" dataDxfId="2294"/>
    <tableColumn id="28" name="28" dataDxfId="2293"/>
    <tableColumn id="29" name="29" dataDxfId="2292"/>
    <tableColumn id="30" name="30" dataDxfId="2291"/>
    <tableColumn id="31" name="31" dataDxfId="2290"/>
  </tableColumns>
  <tableStyleInfo name="TableStyleMedium9" showFirstColumn="0" showLastColumn="0" showRowStripes="1" showColumnStripes="0"/>
</table>
</file>

<file path=xl/tables/table333.xml><?xml version="1.0" encoding="utf-8"?>
<table xmlns="http://schemas.openxmlformats.org/spreadsheetml/2006/main" id="307" name="Tabela19212446308" displayName="Tabela19212446308" ref="I133:AM143" totalsRowShown="0" headerRowDxfId="2289" dataDxfId="2287" headerRowBorderDxfId="2288">
  <autoFilter ref="I133:AM1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286"/>
    <tableColumn id="2" name="2" dataDxfId="2285"/>
    <tableColumn id="3" name="3" dataDxfId="2284"/>
    <tableColumn id="4" name="4" dataDxfId="2283"/>
    <tableColumn id="5" name="5" dataDxfId="2282"/>
    <tableColumn id="6" name="6" dataDxfId="2281"/>
    <tableColumn id="7" name="7" dataDxfId="2280"/>
    <tableColumn id="8" name="8" dataDxfId="2279"/>
    <tableColumn id="9" name="9" dataDxfId="2278"/>
    <tableColumn id="10" name="10" dataDxfId="2277"/>
    <tableColumn id="11" name="11" dataDxfId="2276"/>
    <tableColumn id="12" name="12" dataDxfId="2275"/>
    <tableColumn id="13" name="13" dataDxfId="2274"/>
    <tableColumn id="14" name="14" dataDxfId="2273"/>
    <tableColumn id="15" name="15" dataDxfId="2272"/>
    <tableColumn id="16" name="16" dataDxfId="2271"/>
    <tableColumn id="17" name="17" dataDxfId="2270"/>
    <tableColumn id="18" name="18" dataDxfId="2269"/>
    <tableColumn id="19" name="19" dataDxfId="2268"/>
    <tableColumn id="20" name="20" dataDxfId="2267"/>
    <tableColumn id="21" name="21" dataDxfId="2266"/>
    <tableColumn id="22" name="22" dataDxfId="2265"/>
    <tableColumn id="23" name="23" dataDxfId="2264"/>
    <tableColumn id="24" name="24" dataDxfId="2263"/>
    <tableColumn id="25" name="25" dataDxfId="2262"/>
    <tableColumn id="26" name="26" dataDxfId="2261"/>
    <tableColumn id="27" name="27" dataDxfId="2260"/>
    <tableColumn id="28" name="28" dataDxfId="2259"/>
    <tableColumn id="29" name="29" dataDxfId="2258"/>
    <tableColumn id="30" name="30" dataDxfId="2257"/>
    <tableColumn id="31" name="31" dataDxfId="2256"/>
  </tableColumns>
  <tableStyleInfo name="TableStyleMedium9" showFirstColumn="0" showLastColumn="0" showRowStripes="1" showColumnStripes="0"/>
</table>
</file>

<file path=xl/tables/table334.xml><?xml version="1.0" encoding="utf-8"?>
<table xmlns="http://schemas.openxmlformats.org/spreadsheetml/2006/main" id="308" name="Tabela19212547309" displayName="Tabela19212547309" ref="I121:AM131" totalsRowShown="0" headerRowDxfId="2255" dataDxfId="2253" headerRowBorderDxfId="2254">
  <autoFilter ref="I121:AM1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252"/>
    <tableColumn id="2" name="2" dataDxfId="2251"/>
    <tableColumn id="3" name="3" dataDxfId="2250"/>
    <tableColumn id="4" name="4" dataDxfId="2249"/>
    <tableColumn id="5" name="5" dataDxfId="2248"/>
    <tableColumn id="6" name="6" dataDxfId="2247"/>
    <tableColumn id="7" name="7" dataDxfId="2246"/>
    <tableColumn id="8" name="8" dataDxfId="2245"/>
    <tableColumn id="9" name="9" dataDxfId="2244"/>
    <tableColumn id="10" name="10" dataDxfId="2243"/>
    <tableColumn id="11" name="11" dataDxfId="2242"/>
    <tableColumn id="12" name="12" dataDxfId="2241"/>
    <tableColumn id="13" name="13" dataDxfId="2240"/>
    <tableColumn id="14" name="14" dataDxfId="2239"/>
    <tableColumn id="15" name="15" dataDxfId="2238"/>
    <tableColumn id="16" name="16" dataDxfId="2237"/>
    <tableColumn id="17" name="17" dataDxfId="2236"/>
    <tableColumn id="18" name="18" dataDxfId="2235"/>
    <tableColumn id="19" name="19" dataDxfId="2234"/>
    <tableColumn id="20" name="20" dataDxfId="2233"/>
    <tableColumn id="21" name="21" dataDxfId="2232"/>
    <tableColumn id="22" name="22" dataDxfId="2231"/>
    <tableColumn id="23" name="23" dataDxfId="2230"/>
    <tableColumn id="24" name="24" dataDxfId="2229"/>
    <tableColumn id="25" name="25" dataDxfId="2228"/>
    <tableColumn id="26" name="26" dataDxfId="2227"/>
    <tableColumn id="27" name="27" dataDxfId="2226"/>
    <tableColumn id="28" name="28" dataDxfId="2225"/>
    <tableColumn id="29" name="29" dataDxfId="2224"/>
    <tableColumn id="30" name="30" dataDxfId="2223"/>
    <tableColumn id="31" name="31" dataDxfId="2222"/>
  </tableColumns>
  <tableStyleInfo name="TableStyleMedium9" showFirstColumn="0" showLastColumn="0" showRowStripes="1" showColumnStripes="0"/>
</table>
</file>

<file path=xl/tables/table335.xml><?xml version="1.0" encoding="utf-8"?>
<table xmlns="http://schemas.openxmlformats.org/spreadsheetml/2006/main" id="309" name="Tabela2548310" displayName="Tabela2548310" ref="I157:AM167" totalsRowShown="0" headerRowDxfId="2221" dataDxfId="2220">
  <autoFilter ref="I157:AM1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219"/>
    <tableColumn id="2" name="2" dataDxfId="2218"/>
    <tableColumn id="3" name="3" dataDxfId="2217"/>
    <tableColumn id="4" name="4" dataDxfId="2216"/>
    <tableColumn id="5" name="5" dataDxfId="2215"/>
    <tableColumn id="6" name="6" dataDxfId="2214"/>
    <tableColumn id="7" name="7" dataDxfId="2213"/>
    <tableColumn id="8" name="8" dataDxfId="2212"/>
    <tableColumn id="9" name="9" dataDxfId="2211"/>
    <tableColumn id="10" name="10" dataDxfId="2210"/>
    <tableColumn id="11" name="11" dataDxfId="2209"/>
    <tableColumn id="12" name="12" dataDxfId="2208"/>
    <tableColumn id="13" name="13" dataDxfId="2207"/>
    <tableColumn id="14" name="14" dataDxfId="2206"/>
    <tableColumn id="15" name="15" dataDxfId="2205"/>
    <tableColumn id="16" name="16" dataDxfId="2204"/>
    <tableColumn id="17" name="17" dataDxfId="2203"/>
    <tableColumn id="18" name="18" dataDxfId="2202"/>
    <tableColumn id="19" name="19" dataDxfId="2201"/>
    <tableColumn id="20" name="20" dataDxfId="2200"/>
    <tableColumn id="21" name="21" dataDxfId="2199"/>
    <tableColumn id="22" name="22" dataDxfId="2198"/>
    <tableColumn id="23" name="23" dataDxfId="2197"/>
    <tableColumn id="24" name="24" dataDxfId="2196"/>
    <tableColumn id="25" name="25" dataDxfId="2195"/>
    <tableColumn id="26" name="26" dataDxfId="2194"/>
    <tableColumn id="27" name="27" dataDxfId="2193"/>
    <tableColumn id="28" name="28" dataDxfId="2192"/>
    <tableColumn id="29" name="29" dataDxfId="2191"/>
    <tableColumn id="30" name="30" dataDxfId="2190"/>
    <tableColumn id="31" name="31" dataDxfId="2189"/>
  </tableColumns>
  <tableStyleInfo name="TableStyleMedium9" showFirstColumn="0" showLastColumn="0" showRowStripes="1" showColumnStripes="0"/>
</table>
</file>

<file path=xl/tables/table336.xml><?xml version="1.0" encoding="utf-8"?>
<table xmlns="http://schemas.openxmlformats.org/spreadsheetml/2006/main" id="310" name="Tabela2649311" displayName="Tabela2649311" ref="I169:AM179" totalsRowShown="0" headerRowDxfId="2188" headerRowBorderDxfId="2187">
  <autoFilter ref="I169:AM1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186"/>
    <tableColumn id="2" name="2" dataDxfId="2185"/>
    <tableColumn id="3" name="3" dataDxfId="2184"/>
    <tableColumn id="4" name="4" dataDxfId="2183"/>
    <tableColumn id="5" name="5" dataDxfId="2182"/>
    <tableColumn id="6" name="6" dataDxfId="2181"/>
    <tableColumn id="7" name="7" dataDxfId="2180"/>
    <tableColumn id="8" name="8" dataDxfId="2179"/>
    <tableColumn id="9" name="9" dataDxfId="2178"/>
    <tableColumn id="10" name="10" dataDxfId="2177"/>
    <tableColumn id="11" name="11" dataDxfId="2176"/>
    <tableColumn id="12" name="12" dataDxfId="2175"/>
    <tableColumn id="13" name="13" dataDxfId="2174"/>
    <tableColumn id="14" name="14" dataDxfId="2173"/>
    <tableColumn id="15" name="15" dataDxfId="2172"/>
    <tableColumn id="16" name="16" dataDxfId="2171"/>
    <tableColumn id="17" name="17" dataDxfId="2170"/>
    <tableColumn id="18" name="18" dataDxfId="2169"/>
    <tableColumn id="19" name="19" dataDxfId="2168"/>
    <tableColumn id="20" name="20" dataDxfId="2167"/>
    <tableColumn id="21" name="21" dataDxfId="2166"/>
    <tableColumn id="22" name="22" dataDxfId="2165"/>
    <tableColumn id="23" name="23" dataDxfId="2164"/>
    <tableColumn id="24" name="24" dataDxfId="2163"/>
    <tableColumn id="25" name="25" dataDxfId="2162"/>
    <tableColumn id="26" name="26" dataDxfId="2161"/>
    <tableColumn id="27" name="27" dataDxfId="2160"/>
    <tableColumn id="28" name="28" dataDxfId="2159"/>
    <tableColumn id="29" name="29" dataDxfId="2158"/>
    <tableColumn id="30" name="30" dataDxfId="2157"/>
    <tableColumn id="31" name="31" dataDxfId="2156"/>
  </tableColumns>
  <tableStyleInfo name="TableStyleMedium9" showFirstColumn="0" showLastColumn="0" showRowStripes="1" showColumnStripes="0"/>
</table>
</file>

<file path=xl/tables/table337.xml><?xml version="1.0" encoding="utf-8"?>
<table xmlns="http://schemas.openxmlformats.org/spreadsheetml/2006/main" id="311" name="Tabela2750312" displayName="Tabela2750312" ref="I181:AM191" totalsRowShown="0" headerRowDxfId="2155">
  <autoFilter ref="I181:AM19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154"/>
    <tableColumn id="2" name="2" dataDxfId="2153"/>
    <tableColumn id="3" name="3" dataDxfId="2152"/>
    <tableColumn id="4" name="4" dataDxfId="2151"/>
    <tableColumn id="5" name="5" dataDxfId="2150"/>
    <tableColumn id="6" name="6" dataDxfId="2149"/>
    <tableColumn id="7" name="7" dataDxfId="2148"/>
    <tableColumn id="8" name="8" dataDxfId="2147"/>
    <tableColumn id="9" name="9" dataDxfId="2146"/>
    <tableColumn id="10" name="10" dataDxfId="2145"/>
    <tableColumn id="11" name="11" dataDxfId="2144"/>
    <tableColumn id="12" name="12" dataDxfId="2143"/>
    <tableColumn id="13" name="13" dataDxfId="2142"/>
    <tableColumn id="14" name="14" dataDxfId="2141"/>
    <tableColumn id="15" name="15" dataDxfId="2140"/>
    <tableColumn id="16" name="16" dataDxfId="2139"/>
    <tableColumn id="17" name="17" dataDxfId="2138"/>
    <tableColumn id="18" name="18" dataDxfId="2137"/>
    <tableColumn id="19" name="19" dataDxfId="2136"/>
    <tableColumn id="20" name="20" dataDxfId="2135"/>
    <tableColumn id="21" name="21" dataDxfId="2134"/>
    <tableColumn id="22" name="22" dataDxfId="2133"/>
    <tableColumn id="23" name="23" dataDxfId="2132"/>
    <tableColumn id="24" name="24" dataDxfId="2131"/>
    <tableColumn id="25" name="25" dataDxfId="2130"/>
    <tableColumn id="26" name="26" dataDxfId="2129"/>
    <tableColumn id="27" name="27" dataDxfId="2128"/>
    <tableColumn id="28" name="28" dataDxfId="2127"/>
    <tableColumn id="29" name="29" dataDxfId="2126"/>
    <tableColumn id="30" name="30" dataDxfId="2125"/>
    <tableColumn id="31" name="31" dataDxfId="2124"/>
  </tableColumns>
  <tableStyleInfo name="TableStyleMedium9" showFirstColumn="0" showLastColumn="0" showRowStripes="1" showColumnStripes="0"/>
</table>
</file>

<file path=xl/tables/table338.xml><?xml version="1.0" encoding="utf-8"?>
<table xmlns="http://schemas.openxmlformats.org/spreadsheetml/2006/main" id="312" name="Tabela2851313" displayName="Tabela2851313" ref="I193:AM203" totalsRowShown="0" headerRowDxfId="2123" dataDxfId="2121" headerRowBorderDxfId="2122">
  <autoFilter ref="I193:AM20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120"/>
    <tableColumn id="2" name="2" dataDxfId="2119"/>
    <tableColumn id="3" name="3" dataDxfId="2118"/>
    <tableColumn id="4" name="4" dataDxfId="2117"/>
    <tableColumn id="5" name="5" dataDxfId="2116"/>
    <tableColumn id="6" name="6" dataDxfId="2115"/>
    <tableColumn id="7" name="7" dataDxfId="2114"/>
    <tableColumn id="8" name="8" dataDxfId="2113"/>
    <tableColumn id="9" name="9" dataDxfId="2112"/>
    <tableColumn id="10" name="10" dataDxfId="2111"/>
    <tableColumn id="11" name="11" dataDxfId="2110"/>
    <tableColumn id="12" name="12" dataDxfId="2109"/>
    <tableColumn id="13" name="13" dataDxfId="2108"/>
    <tableColumn id="14" name="14" dataDxfId="2107"/>
    <tableColumn id="15" name="15" dataDxfId="2106"/>
    <tableColumn id="16" name="16" dataDxfId="2105"/>
    <tableColumn id="17" name="17" dataDxfId="2104"/>
    <tableColumn id="18" name="18" dataDxfId="2103"/>
    <tableColumn id="19" name="19" dataDxfId="2102"/>
    <tableColumn id="20" name="20" dataDxfId="2101"/>
    <tableColumn id="21" name="21" dataDxfId="2100"/>
    <tableColumn id="22" name="22" dataDxfId="2099"/>
    <tableColumn id="23" name="23" dataDxfId="2098"/>
    <tableColumn id="24" name="24" dataDxfId="2097"/>
    <tableColumn id="25" name="25" dataDxfId="2096"/>
    <tableColumn id="26" name="26" dataDxfId="2095"/>
    <tableColumn id="27" name="27" dataDxfId="2094"/>
    <tableColumn id="28" name="28" dataDxfId="2093"/>
    <tableColumn id="29" name="29" dataDxfId="2092"/>
    <tableColumn id="30" name="30" dataDxfId="2091"/>
    <tableColumn id="31" name="31" dataDxfId="2090"/>
  </tableColumns>
  <tableStyleInfo name="TableStyleMedium9" showFirstColumn="0" showLastColumn="0" showRowStripes="1" showColumnStripes="0"/>
</table>
</file>

<file path=xl/tables/table339.xml><?xml version="1.0" encoding="utf-8"?>
<table xmlns="http://schemas.openxmlformats.org/spreadsheetml/2006/main" id="313" name="Tabela164058314" displayName="Tabela164058314" ref="B218:G227" headerRowCount="0" totalsRowShown="0">
  <tableColumns count="6">
    <tableColumn id="1" name="Kolumna1" dataDxfId="2089">
      <calculatedColumnFormula>'Wzorzec kategorii'!B180</calculatedColumnFormula>
    </tableColumn>
    <tableColumn id="2" name="Kolumna2" dataDxfId="2088"/>
    <tableColumn id="3" name="Kolumna3" dataDxfId="2087">
      <calculatedColumnFormula>SUM(Tabela19234559315[#This Row])</calculatedColumnFormula>
    </tableColumn>
    <tableColumn id="4" name="Kolumna4" dataDxfId="2086">
      <calculatedColumnFormula>C218-D218</calculatedColumnFormula>
    </tableColumn>
    <tableColumn id="5" name="Kolumna5" dataDxfId="2085">
      <calculatedColumnFormula>IFERROR(D218/C218,"")</calculatedColumnFormula>
    </tableColumn>
    <tableColumn id="6" name="Kolumna6" dataDxfId="2084"/>
  </tableColumns>
  <tableStyleInfo name="TableStyleLight9" showFirstColumn="0" showLastColumn="0" showRowStripes="1" showColumnStripes="0"/>
</table>
</file>

<file path=xl/tables/table34.xml><?xml version="1.0" encoding="utf-8"?>
<table xmlns="http://schemas.openxmlformats.org/spreadsheetml/2006/main" id="360" name="Tabela1236361" displayName="Tabela1236361" ref="B120:C129" headerRowCount="0" totalsRowShown="0">
  <tableColumns count="2">
    <tableColumn id="1" name="Kolumna1" dataDxfId="7877"/>
    <tableColumn id="2" name="Kolumna2" dataDxfId="7876"/>
  </tableColumns>
  <tableStyleInfo name="TableStyleLight9" showFirstColumn="0" showLastColumn="0" showRowStripes="1" showColumnStripes="0"/>
</table>
</file>

<file path=xl/tables/table340.xml><?xml version="1.0" encoding="utf-8"?>
<table xmlns="http://schemas.openxmlformats.org/spreadsheetml/2006/main" id="314" name="Tabela19234559315" displayName="Tabela19234559315" ref="I217:AM227" totalsRowShown="0" headerRowDxfId="2083" dataDxfId="2081" headerRowBorderDxfId="2082">
  <autoFilter ref="I217:AM2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080"/>
    <tableColumn id="2" name="2" dataDxfId="2079"/>
    <tableColumn id="3" name="3" dataDxfId="2078"/>
    <tableColumn id="4" name="4" dataDxfId="2077"/>
    <tableColumn id="5" name="5" dataDxfId="2076"/>
    <tableColumn id="6" name="6" dataDxfId="2075"/>
    <tableColumn id="7" name="7" dataDxfId="2074"/>
    <tableColumn id="8" name="8" dataDxfId="2073"/>
    <tableColumn id="9" name="9" dataDxfId="2072"/>
    <tableColumn id="10" name="10" dataDxfId="2071"/>
    <tableColumn id="11" name="11" dataDxfId="2070"/>
    <tableColumn id="12" name="12" dataDxfId="2069"/>
    <tableColumn id="13" name="13" dataDxfId="2068"/>
    <tableColumn id="14" name="14" dataDxfId="2067"/>
    <tableColumn id="15" name="15" dataDxfId="2066"/>
    <tableColumn id="16" name="16" dataDxfId="2065"/>
    <tableColumn id="17" name="17" dataDxfId="2064"/>
    <tableColumn id="18" name="18" dataDxfId="2063"/>
    <tableColumn id="19" name="19" dataDxfId="2062"/>
    <tableColumn id="20" name="20" dataDxfId="2061"/>
    <tableColumn id="21" name="21" dataDxfId="2060"/>
    <tableColumn id="22" name="22" dataDxfId="2059"/>
    <tableColumn id="23" name="23" dataDxfId="2058"/>
    <tableColumn id="24" name="24" dataDxfId="2057"/>
    <tableColumn id="25" name="25" dataDxfId="2056"/>
    <tableColumn id="26" name="26" dataDxfId="2055"/>
    <tableColumn id="27" name="27" dataDxfId="2054"/>
    <tableColumn id="28" name="28" dataDxfId="2053"/>
    <tableColumn id="29" name="29" dataDxfId="2052"/>
    <tableColumn id="30" name="30" dataDxfId="2051"/>
    <tableColumn id="31" name="31" dataDxfId="2050"/>
  </tableColumns>
  <tableStyleInfo name="TableStyleMedium9" showFirstColumn="0" showLastColumn="0" showRowStripes="1" showColumnStripes="0"/>
</table>
</file>

<file path=xl/tables/table341.xml><?xml version="1.0" encoding="utf-8"?>
<table xmlns="http://schemas.openxmlformats.org/spreadsheetml/2006/main" id="315" name="Tabela16405860316" displayName="Tabela16405860316" ref="B230:G239" headerRowCount="0" totalsRowShown="0">
  <tableColumns count="6">
    <tableColumn id="1" name="Kolumna1" dataDxfId="2049">
      <calculatedColumnFormula>'Wzorzec kategorii'!B192</calculatedColumnFormula>
    </tableColumn>
    <tableColumn id="2" name="Kolumna2" dataDxfId="2048"/>
    <tableColumn id="3" name="Kolumna3" dataDxfId="2047">
      <calculatedColumnFormula>SUM(Tabela1923455962318[#This Row])</calculatedColumnFormula>
    </tableColumn>
    <tableColumn id="4" name="Kolumna4" dataDxfId="2046">
      <calculatedColumnFormula>C230-D230</calculatedColumnFormula>
    </tableColumn>
    <tableColumn id="5" name="Kolumna5" dataDxfId="2045">
      <calculatedColumnFormula>IFERROR(D230/C230,"")</calculatedColumnFormula>
    </tableColumn>
    <tableColumn id="6" name="Kolumna6" dataDxfId="2044"/>
  </tableColumns>
  <tableStyleInfo name="TableStyleLight9" showFirstColumn="0" showLastColumn="0" showRowStripes="1" showColumnStripes="0"/>
</table>
</file>

<file path=xl/tables/table342.xml><?xml version="1.0" encoding="utf-8"?>
<table xmlns="http://schemas.openxmlformats.org/spreadsheetml/2006/main" id="316" name="Tabela1640586061317" displayName="Tabela1640586061317" ref="B242:G251" headerRowCount="0" totalsRowShown="0">
  <tableColumns count="6">
    <tableColumn id="1" name="Kolumna1" dataDxfId="2043">
      <calculatedColumnFormula>'Wzorzec kategorii'!B204</calculatedColumnFormula>
    </tableColumn>
    <tableColumn id="2" name="Kolumna2" dataDxfId="2042"/>
    <tableColumn id="3" name="Kolumna3" dataDxfId="2041">
      <calculatedColumnFormula>SUM(Tabela1923455963319[#This Row])</calculatedColumnFormula>
    </tableColumn>
    <tableColumn id="4" name="Kolumna4" dataDxfId="2040">
      <calculatedColumnFormula>C242-D242</calculatedColumnFormula>
    </tableColumn>
    <tableColumn id="5" name="Kolumna5" dataDxfId="2039">
      <calculatedColumnFormula>IFERROR(D242/C242,"")</calculatedColumnFormula>
    </tableColumn>
    <tableColumn id="6" name="Kolumna6" dataDxfId="2038"/>
  </tableColumns>
  <tableStyleInfo name="TableStyleLight9" showFirstColumn="0" showLastColumn="0" showRowStripes="1" showColumnStripes="0"/>
</table>
</file>

<file path=xl/tables/table343.xml><?xml version="1.0" encoding="utf-8"?>
<table xmlns="http://schemas.openxmlformats.org/spreadsheetml/2006/main" id="317" name="Tabela1923455962318" displayName="Tabela1923455962318" ref="I229:AM239" totalsRowShown="0" headerRowDxfId="2037" dataDxfId="2035" headerRowBorderDxfId="2036">
  <autoFilter ref="I229:AM2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034"/>
    <tableColumn id="2" name="2" dataDxfId="2033"/>
    <tableColumn id="3" name="3" dataDxfId="2032"/>
    <tableColumn id="4" name="4" dataDxfId="2031"/>
    <tableColumn id="5" name="5" dataDxfId="2030"/>
    <tableColumn id="6" name="6" dataDxfId="2029"/>
    <tableColumn id="7" name="7" dataDxfId="2028"/>
    <tableColumn id="8" name="8" dataDxfId="2027"/>
    <tableColumn id="9" name="9" dataDxfId="2026"/>
    <tableColumn id="10" name="10" dataDxfId="2025"/>
    <tableColumn id="11" name="11" dataDxfId="2024"/>
    <tableColumn id="12" name="12" dataDxfId="2023"/>
    <tableColumn id="13" name="13" dataDxfId="2022"/>
    <tableColumn id="14" name="14" dataDxfId="2021"/>
    <tableColumn id="15" name="15" dataDxfId="2020"/>
    <tableColumn id="16" name="16" dataDxfId="2019"/>
    <tableColumn id="17" name="17" dataDxfId="2018"/>
    <tableColumn id="18" name="18" dataDxfId="2017"/>
    <tableColumn id="19" name="19" dataDxfId="2016"/>
    <tableColumn id="20" name="20" dataDxfId="2015"/>
    <tableColumn id="21" name="21" dataDxfId="2014"/>
    <tableColumn id="22" name="22" dataDxfId="2013"/>
    <tableColumn id="23" name="23" dataDxfId="2012"/>
    <tableColumn id="24" name="24" dataDxfId="2011"/>
    <tableColumn id="25" name="25" dataDxfId="2010"/>
    <tableColumn id="26" name="26" dataDxfId="2009"/>
    <tableColumn id="27" name="27" dataDxfId="2008"/>
    <tableColumn id="28" name="28" dataDxfId="2007"/>
    <tableColumn id="29" name="29" dataDxfId="2006"/>
    <tableColumn id="30" name="30" dataDxfId="2005"/>
    <tableColumn id="31" name="31" dataDxfId="2004"/>
  </tableColumns>
  <tableStyleInfo name="TableStyleMedium9" showFirstColumn="0" showLastColumn="0" showRowStripes="1" showColumnStripes="0"/>
</table>
</file>

<file path=xl/tables/table344.xml><?xml version="1.0" encoding="utf-8"?>
<table xmlns="http://schemas.openxmlformats.org/spreadsheetml/2006/main" id="318" name="Tabela1923455963319" displayName="Tabela1923455963319" ref="I241:AM251" totalsRowShown="0" headerRowDxfId="2003" dataDxfId="2001" headerRowBorderDxfId="2002">
  <autoFilter ref="I241:AM25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000"/>
    <tableColumn id="2" name="2" dataDxfId="1999"/>
    <tableColumn id="3" name="3" dataDxfId="1998"/>
    <tableColumn id="4" name="4" dataDxfId="1997"/>
    <tableColumn id="5" name="5" dataDxfId="1996"/>
    <tableColumn id="6" name="6" dataDxfId="1995"/>
    <tableColumn id="7" name="7" dataDxfId="1994"/>
    <tableColumn id="8" name="8" dataDxfId="1993"/>
    <tableColumn id="9" name="9" dataDxfId="1992"/>
    <tableColumn id="10" name="10" dataDxfId="1991"/>
    <tableColumn id="11" name="11" dataDxfId="1990"/>
    <tableColumn id="12" name="12" dataDxfId="1989"/>
    <tableColumn id="13" name="13" dataDxfId="1988"/>
    <tableColumn id="14" name="14" dataDxfId="1987"/>
    <tableColumn id="15" name="15" dataDxfId="1986"/>
    <tableColumn id="16" name="16" dataDxfId="1985"/>
    <tableColumn id="17" name="17" dataDxfId="1984"/>
    <tableColumn id="18" name="18" dataDxfId="1983"/>
    <tableColumn id="19" name="19" dataDxfId="1982"/>
    <tableColumn id="20" name="20" dataDxfId="1981"/>
    <tableColumn id="21" name="21" dataDxfId="1980"/>
    <tableColumn id="22" name="22" dataDxfId="1979"/>
    <tableColumn id="23" name="23" dataDxfId="1978"/>
    <tableColumn id="24" name="24" dataDxfId="1977"/>
    <tableColumn id="25" name="25" dataDxfId="1976"/>
    <tableColumn id="26" name="26" dataDxfId="1975"/>
    <tableColumn id="27" name="27" dataDxfId="1974"/>
    <tableColumn id="28" name="28" dataDxfId="1973"/>
    <tableColumn id="29" name="29" dataDxfId="1972"/>
    <tableColumn id="30" name="30" dataDxfId="1971"/>
    <tableColumn id="31" name="31" dataDxfId="1970"/>
  </tableColumns>
  <tableStyleInfo name="TableStyleMedium9" showFirstColumn="0" showLastColumn="0" showRowStripes="1" showColumnStripes="0"/>
</table>
</file>

<file path=xl/tables/table345.xml><?xml version="1.0" encoding="utf-8"?>
<table xmlns="http://schemas.openxmlformats.org/spreadsheetml/2006/main" id="319" name="Tabela33064320" displayName="Tabela33064320" ref="I51:AM66" totalsRowShown="0" headerRowDxfId="1969">
  <autoFilter ref="I51:AM6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968"/>
    <tableColumn id="2" name="2" dataDxfId="1967"/>
    <tableColumn id="3" name="3" dataDxfId="1966"/>
    <tableColumn id="4" name="4" dataDxfId="1965"/>
    <tableColumn id="5" name="5" dataDxfId="1964"/>
    <tableColumn id="6" name="6" dataDxfId="1963"/>
    <tableColumn id="7" name="7" dataDxfId="1962"/>
    <tableColumn id="8" name="8" dataDxfId="1961"/>
    <tableColumn id="9" name="9" dataDxfId="1960"/>
    <tableColumn id="10" name="10" dataDxfId="1959"/>
    <tableColumn id="11" name="11" dataDxfId="1958"/>
    <tableColumn id="12" name="12" dataDxfId="1957"/>
    <tableColumn id="13" name="13" dataDxfId="1956"/>
    <tableColumn id="14" name="14" dataDxfId="1955"/>
    <tableColumn id="15" name="15" dataDxfId="1954"/>
    <tableColumn id="16" name="16" dataDxfId="1953"/>
    <tableColumn id="17" name="17" dataDxfId="1952"/>
    <tableColumn id="18" name="18" dataDxfId="1951"/>
    <tableColumn id="19" name="19" dataDxfId="1950"/>
    <tableColumn id="20" name="20" dataDxfId="1949"/>
    <tableColumn id="21" name="21" dataDxfId="1948"/>
    <tableColumn id="22" name="22" dataDxfId="1947"/>
    <tableColumn id="23" name="23" dataDxfId="1946"/>
    <tableColumn id="24" name="24" dataDxfId="1945"/>
    <tableColumn id="25" name="25" dataDxfId="1944"/>
    <tableColumn id="26" name="26" dataDxfId="1943"/>
    <tableColumn id="27" name="27" dataDxfId="1942"/>
    <tableColumn id="28" name="28" dataDxfId="1941"/>
    <tableColumn id="29" name="29" dataDxfId="1940"/>
    <tableColumn id="30" name="30" dataDxfId="1939"/>
    <tableColumn id="31" name="31" dataDxfId="1938"/>
  </tableColumns>
  <tableStyleInfo name="TableStyleMedium9" showFirstColumn="0" showLastColumn="0" showRowStripes="1" showColumnStripes="0"/>
</table>
</file>

<file path=xl/tables/table346.xml><?xml version="1.0" encoding="utf-8"?>
<table xmlns="http://schemas.openxmlformats.org/spreadsheetml/2006/main" id="320" name="Jedzenie2321" displayName="Jedzenie2321" ref="B74:G83" headerRowCount="0" totalsRowShown="0" headerRowDxfId="1937" dataDxfId="1936">
  <tableColumns count="6">
    <tableColumn id="1" name="Kategoria" dataDxfId="1935">
      <calculatedColumnFormula>'Wzorzec kategorii'!B36</calculatedColumnFormula>
    </tableColumn>
    <tableColumn id="2" name="0" headerRowDxfId="1934" dataDxfId="1933"/>
    <tableColumn id="3" name="02" headerRowDxfId="1932" dataDxfId="1931">
      <calculatedColumnFormula>SUM(Tabela330324[#This Row])</calculatedColumnFormula>
    </tableColumn>
    <tableColumn id="4" name="Kolumna4" dataDxfId="1930">
      <calculatedColumnFormula>C74-D74</calculatedColumnFormula>
    </tableColumn>
    <tableColumn id="5" name="Kolumna1" dataDxfId="1929">
      <calculatedColumnFormula>IFERROR(D74/C74,"")</calculatedColumnFormula>
    </tableColumn>
    <tableColumn id="6" name="Kolumna2" dataDxfId="1928"/>
  </tableColumns>
  <tableStyleInfo name="TableStyleLight9" showFirstColumn="0" showLastColumn="0" showRowStripes="1" showColumnStripes="0"/>
</table>
</file>

<file path=xl/tables/table347.xml><?xml version="1.0" encoding="utf-8"?>
<table xmlns="http://schemas.openxmlformats.org/spreadsheetml/2006/main" id="321" name="Transport3322" displayName="Transport3322" ref="B98:G107" headerRowCount="0" totalsRowShown="0">
  <tableColumns count="6">
    <tableColumn id="1" name="Kolumna1" dataDxfId="1927">
      <calculatedColumnFormula>'Wzorzec kategorii'!B60</calculatedColumnFormula>
    </tableColumn>
    <tableColumn id="2" name="Kolumna2" dataDxfId="1926"/>
    <tableColumn id="3" name="Kolumna3" dataDxfId="1925">
      <calculatedColumnFormula>SUM(Tabela1942336[#This Row])</calculatedColumnFormula>
    </tableColumn>
    <tableColumn id="4" name="Kolumna4" dataDxfId="1924">
      <calculatedColumnFormula>C98-D98</calculatedColumnFormula>
    </tableColumn>
    <tableColumn id="5" name="Kolumna5" dataDxfId="1923">
      <calculatedColumnFormula>IFERROR(D98/C98,"")</calculatedColumnFormula>
    </tableColumn>
    <tableColumn id="6" name="Kolumna6" dataDxfId="1922"/>
  </tableColumns>
  <tableStyleInfo name="TableStyleLight9" showFirstColumn="0" showLastColumn="0" showRowStripes="1" showColumnStripes="0"/>
</table>
</file>

<file path=xl/tables/table348.xml><?xml version="1.0" encoding="utf-8"?>
<table xmlns="http://schemas.openxmlformats.org/spreadsheetml/2006/main" id="322" name="Tabela718323" displayName="Tabela718323" ref="B52:G66" headerRowCount="0" totalsRowShown="0" headerRowDxfId="1921" dataDxfId="1920">
  <tableColumns count="6">
    <tableColumn id="1" name="Kolumna1" dataDxfId="1919">
      <calculatedColumnFormula>'Wzorzec kategorii'!B15</calculatedColumnFormula>
    </tableColumn>
    <tableColumn id="2" name="Kolumna2" dataDxfId="1918"/>
    <tableColumn id="3" name="Kolumna3" dataDxfId="1917">
      <calculatedColumnFormula>SUM(Tabela33064355[#This Row])</calculatedColumnFormula>
    </tableColumn>
    <tableColumn id="4" name="Kolumna4" dataDxfId="1916">
      <calculatedColumnFormula>Tabela718323[[#This Row],[Kolumna3]]-Tabela718323[[#This Row],[Kolumna2]]</calculatedColumnFormula>
    </tableColumn>
    <tableColumn id="5" name="Kolumna5" dataDxfId="1915" dataCellStyle="Procentowy">
      <calculatedColumnFormula>IFERROR(D52/C52,"")</calculatedColumnFormula>
    </tableColumn>
    <tableColumn id="6" name="Kolumna6" dataDxfId="1914"/>
  </tableColumns>
  <tableStyleInfo name="TableStyleLight9" showFirstColumn="0" showLastColumn="0" showRowStripes="1" showColumnStripes="0"/>
</table>
</file>

<file path=xl/tables/table349.xml><?xml version="1.0" encoding="utf-8"?>
<table xmlns="http://schemas.openxmlformats.org/spreadsheetml/2006/main" id="323" name="Tabela330324" displayName="Tabela330324" ref="I73:AM83" totalsRowShown="0" headerRowDxfId="1913">
  <autoFilter ref="I73:AM8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912"/>
    <tableColumn id="2" name="2" dataDxfId="1911"/>
    <tableColumn id="3" name="3" dataDxfId="1910"/>
    <tableColumn id="4" name="4" dataDxfId="1909"/>
    <tableColumn id="5" name="5" dataDxfId="1908"/>
    <tableColumn id="6" name="6" dataDxfId="1907"/>
    <tableColumn id="7" name="7" dataDxfId="1906"/>
    <tableColumn id="8" name="8" dataDxfId="1905"/>
    <tableColumn id="9" name="9" dataDxfId="1904"/>
    <tableColumn id="10" name="10" dataDxfId="1903"/>
    <tableColumn id="11" name="11" dataDxfId="1902"/>
    <tableColumn id="12" name="12" dataDxfId="1901"/>
    <tableColumn id="13" name="13" dataDxfId="1900"/>
    <tableColumn id="14" name="14" dataDxfId="1899"/>
    <tableColumn id="15" name="15" dataDxfId="1898"/>
    <tableColumn id="16" name="16" dataDxfId="1897"/>
    <tableColumn id="17" name="17" dataDxfId="1896"/>
    <tableColumn id="18" name="18" dataDxfId="1895"/>
    <tableColumn id="19" name="19" dataDxfId="1894"/>
    <tableColumn id="20" name="20" dataDxfId="1893"/>
    <tableColumn id="21" name="21" dataDxfId="1892"/>
    <tableColumn id="22" name="22" dataDxfId="1891"/>
    <tableColumn id="23" name="23" dataDxfId="1890"/>
    <tableColumn id="24" name="24" dataDxfId="1889"/>
    <tableColumn id="25" name="25" dataDxfId="1888"/>
    <tableColumn id="26" name="26" dataDxfId="1887"/>
    <tableColumn id="27" name="27" dataDxfId="1886"/>
    <tableColumn id="28" name="28" dataDxfId="1885"/>
    <tableColumn id="29" name="29" dataDxfId="1884"/>
    <tableColumn id="30" name="30" dataDxfId="1883"/>
    <tableColumn id="31" name="31" dataDxfId="1882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id="361" name="Tabela1337362" displayName="Tabela1337362" ref="B132:C141" headerRowCount="0" totalsRowShown="0">
  <tableColumns count="2">
    <tableColumn id="1" name="Kolumna1" dataDxfId="7875"/>
    <tableColumn id="2" name="Kolumna2" dataDxfId="7874"/>
  </tableColumns>
  <tableStyleInfo name="TableStyleLight9" showFirstColumn="0" showLastColumn="0" showRowStripes="1" showColumnStripes="0"/>
</table>
</file>

<file path=xl/tables/table350.xml><?xml version="1.0" encoding="utf-8"?>
<table xmlns="http://schemas.openxmlformats.org/spreadsheetml/2006/main" id="324" name="Tabela431325" displayName="Tabela431325" ref="B86:G95" headerRowCount="0" totalsRowShown="0" headerRowDxfId="1881">
  <tableColumns count="6">
    <tableColumn id="1" name="Kolumna1" dataDxfId="1880">
      <calculatedColumnFormula>'Wzorzec kategorii'!B48</calculatedColumnFormula>
    </tableColumn>
    <tableColumn id="2" name="Kolumna2" headerRowDxfId="1879" dataDxfId="1878"/>
    <tableColumn id="3" name="Kolumna3" headerRowDxfId="1877" dataDxfId="1876">
      <calculatedColumnFormula>SUM(Tabela1841335[#This Row])</calculatedColumnFormula>
    </tableColumn>
    <tableColumn id="4" name="Kolumna4" headerRowDxfId="1875" dataDxfId="1874">
      <calculatedColumnFormula>C86-D86</calculatedColumnFormula>
    </tableColumn>
    <tableColumn id="5" name="Kolumna5" headerRowDxfId="1873" dataDxfId="1872">
      <calculatedColumnFormula>IFERROR(D86/C86,"")</calculatedColumnFormula>
    </tableColumn>
    <tableColumn id="6" name="Kolumna6" headerRowDxfId="1871" dataDxfId="1870"/>
  </tableColumns>
  <tableStyleInfo name="TableStyleLight9" showFirstColumn="0" showLastColumn="0" showRowStripes="1" showColumnStripes="0"/>
</table>
</file>

<file path=xl/tables/table351.xml><?xml version="1.0" encoding="utf-8"?>
<table xmlns="http://schemas.openxmlformats.org/spreadsheetml/2006/main" id="325" name="Tabela832326" displayName="Tabela832326" ref="B110:G119" headerRowCount="0" totalsRowShown="0">
  <tableColumns count="6">
    <tableColumn id="1" name="Kolumna1" headerRowDxfId="1869" dataDxfId="1868">
      <calculatedColumnFormula>'Wzorzec kategorii'!B72</calculatedColumnFormula>
    </tableColumn>
    <tableColumn id="2" name="Kolumna2" dataDxfId="1867"/>
    <tableColumn id="3" name="Kolumna3" dataDxfId="1866">
      <calculatedColumnFormula>SUM(Tabela192143337[#This Row])</calculatedColumnFormula>
    </tableColumn>
    <tableColumn id="4" name="Kolumna4" dataDxfId="1865">
      <calculatedColumnFormula>C110-D110</calculatedColumnFormula>
    </tableColumn>
    <tableColumn id="5" name="Kolumna5" dataDxfId="1864">
      <calculatedColumnFormula>IFERROR(D110/C110,"")</calculatedColumnFormula>
    </tableColumn>
    <tableColumn id="6" name="Kolumna6" dataDxfId="1863"/>
  </tableColumns>
  <tableStyleInfo name="TableStyleLight9" showFirstColumn="0" showLastColumn="0" showRowStripes="1" showColumnStripes="0"/>
</table>
</file>

<file path=xl/tables/table352.xml><?xml version="1.0" encoding="utf-8"?>
<table xmlns="http://schemas.openxmlformats.org/spreadsheetml/2006/main" id="326" name="Tabela933327" displayName="Tabela933327" ref="B122:G131" headerRowCount="0" totalsRowShown="0">
  <tableColumns count="6">
    <tableColumn id="1" name="Kolumna1" headerRowDxfId="1862" dataDxfId="1861">
      <calculatedColumnFormula>'Wzorzec kategorii'!B84</calculatedColumnFormula>
    </tableColumn>
    <tableColumn id="2" name="Kolumna2" dataDxfId="1860"/>
    <tableColumn id="3" name="Kolumna3" dataDxfId="1859">
      <calculatedColumnFormula>SUM(Tabela19212547341[#This Row])</calculatedColumnFormula>
    </tableColumn>
    <tableColumn id="4" name="Kolumna4" dataDxfId="1858">
      <calculatedColumnFormula>C122-D122</calculatedColumnFormula>
    </tableColumn>
    <tableColumn id="5" name="Kolumna5" dataDxfId="1857">
      <calculatedColumnFormula>IFERROR(D122/C122,"")</calculatedColumnFormula>
    </tableColumn>
    <tableColumn id="6" name="Kolumna6" dataDxfId="1856"/>
  </tableColumns>
  <tableStyleInfo name="TableStyleLight9" showFirstColumn="0" showLastColumn="0" showRowStripes="1" showColumnStripes="0"/>
</table>
</file>

<file path=xl/tables/table353.xml><?xml version="1.0" encoding="utf-8"?>
<table xmlns="http://schemas.openxmlformats.org/spreadsheetml/2006/main" id="327" name="Tabela1034328" displayName="Tabela1034328" ref="B134:G143" headerRowCount="0" totalsRowShown="0">
  <tableColumns count="6">
    <tableColumn id="1" name="Kolumna1" headerRowDxfId="1855" dataDxfId="1854">
      <calculatedColumnFormula>'Wzorzec kategorii'!B96</calculatedColumnFormula>
    </tableColumn>
    <tableColumn id="2" name="Kolumna2" dataDxfId="1853"/>
    <tableColumn id="3" name="Kolumna3" dataDxfId="1852">
      <calculatedColumnFormula>SUM(Tabela19212446340[#This Row])</calculatedColumnFormula>
    </tableColumn>
    <tableColumn id="4" name="Kolumna4" dataDxfId="1851">
      <calculatedColumnFormula>C134-D134</calculatedColumnFormula>
    </tableColumn>
    <tableColumn id="5" name="Kolumna5" dataDxfId="1850">
      <calculatedColumnFormula>IFERROR(D134/C134,"")</calculatedColumnFormula>
    </tableColumn>
    <tableColumn id="6" name="Kolumna6" dataDxfId="1849"/>
  </tableColumns>
  <tableStyleInfo name="TableStyleLight9" showFirstColumn="0" showLastColumn="0" showRowStripes="1" showColumnStripes="0"/>
</table>
</file>

<file path=xl/tables/table354.xml><?xml version="1.0" encoding="utf-8"?>
<table xmlns="http://schemas.openxmlformats.org/spreadsheetml/2006/main" id="328" name="Tabela1135329" displayName="Tabela1135329" ref="B146:G155" headerRowCount="0" totalsRowShown="0">
  <tableColumns count="6">
    <tableColumn id="1" name="Kolumna1" dataDxfId="1848">
      <calculatedColumnFormula>'Wzorzec kategorii'!B108</calculatedColumnFormula>
    </tableColumn>
    <tableColumn id="2" name="Kolumna2" dataDxfId="1847"/>
    <tableColumn id="3" name="Kolumna3" dataDxfId="1846">
      <calculatedColumnFormula>SUM(Tabela192244338[#This Row])</calculatedColumnFormula>
    </tableColumn>
    <tableColumn id="4" name="Kolumna4" dataDxfId="1845">
      <calculatedColumnFormula>C146-D146</calculatedColumnFormula>
    </tableColumn>
    <tableColumn id="5" name="Kolumna5" dataDxfId="1844">
      <calculatedColumnFormula>IFERROR(D146/C146,"")</calculatedColumnFormula>
    </tableColumn>
    <tableColumn id="6" name="Kolumna6" dataDxfId="1843"/>
  </tableColumns>
  <tableStyleInfo name="TableStyleLight9" showFirstColumn="0" showLastColumn="0" showRowStripes="1" showColumnStripes="0"/>
</table>
</file>

<file path=xl/tables/table355.xml><?xml version="1.0" encoding="utf-8"?>
<table xmlns="http://schemas.openxmlformats.org/spreadsheetml/2006/main" id="329" name="Tabela1236330" displayName="Tabela1236330" ref="B158:G167" headerRowCount="0" totalsRowShown="0">
  <tableColumns count="6">
    <tableColumn id="1" name="Kolumna1" dataDxfId="1842">
      <calculatedColumnFormula>'Wzorzec kategorii'!B120</calculatedColumnFormula>
    </tableColumn>
    <tableColumn id="2" name="Kolumna2" dataDxfId="1841"/>
    <tableColumn id="3" name="Kolumna3" dataDxfId="1840">
      <calculatedColumnFormula>SUM(Tabela2548342[#This Row])</calculatedColumnFormula>
    </tableColumn>
    <tableColumn id="4" name="Kolumna4" dataDxfId="1839">
      <calculatedColumnFormula>C158-D158</calculatedColumnFormula>
    </tableColumn>
    <tableColumn id="5" name="Kolumna5" dataDxfId="1838">
      <calculatedColumnFormula>IFERROR(D158/C158,"")</calculatedColumnFormula>
    </tableColumn>
    <tableColumn id="6" name="Kolumna6"/>
  </tableColumns>
  <tableStyleInfo name="TableStyleLight9" showFirstColumn="0" showLastColumn="0" showRowStripes="1" showColumnStripes="0"/>
</table>
</file>

<file path=xl/tables/table356.xml><?xml version="1.0" encoding="utf-8"?>
<table xmlns="http://schemas.openxmlformats.org/spreadsheetml/2006/main" id="330" name="Tabela1337331" displayName="Tabela1337331" ref="B170:G179" headerRowCount="0" totalsRowShown="0">
  <tableColumns count="6">
    <tableColumn id="1" name="Kolumna1" dataDxfId="1837">
      <calculatedColumnFormula>'Wzorzec kategorii'!B132</calculatedColumnFormula>
    </tableColumn>
    <tableColumn id="2" name="Kolumna2" dataDxfId="1836"/>
    <tableColumn id="3" name="Kolumna3" dataDxfId="1835">
      <calculatedColumnFormula>SUM(Tabela2649343[#This Row])</calculatedColumnFormula>
    </tableColumn>
    <tableColumn id="4" name="Kolumna4" dataDxfId="1834">
      <calculatedColumnFormula>C170-D170</calculatedColumnFormula>
    </tableColumn>
    <tableColumn id="5" name="Kolumna5" dataDxfId="1833">
      <calculatedColumnFormula>IFERROR(D170/C170,"")</calculatedColumnFormula>
    </tableColumn>
    <tableColumn id="6" name="Kolumna6" dataDxfId="1832"/>
  </tableColumns>
  <tableStyleInfo name="TableStyleLight9" showFirstColumn="0" showLastColumn="0" showRowStripes="1" showColumnStripes="0"/>
</table>
</file>

<file path=xl/tables/table357.xml><?xml version="1.0" encoding="utf-8"?>
<table xmlns="http://schemas.openxmlformats.org/spreadsheetml/2006/main" id="331" name="Tabela1438332" displayName="Tabela1438332" ref="B182:G191" headerRowCount="0" totalsRowShown="0">
  <tableColumns count="6">
    <tableColumn id="1" name="Kolumna1" dataDxfId="1831">
      <calculatedColumnFormula>'Wzorzec kategorii'!B144</calculatedColumnFormula>
    </tableColumn>
    <tableColumn id="2" name="Kolumna2" dataDxfId="1830"/>
    <tableColumn id="3" name="Kolumna3" dataDxfId="1829">
      <calculatedColumnFormula>SUM(Tabela2750344[#This Row])</calculatedColumnFormula>
    </tableColumn>
    <tableColumn id="4" name="Kolumna4" dataDxfId="1828">
      <calculatedColumnFormula>C182-D182</calculatedColumnFormula>
    </tableColumn>
    <tableColumn id="5" name="Kolumna5" dataDxfId="1827">
      <calculatedColumnFormula>IFERROR(D182/C182,"")</calculatedColumnFormula>
    </tableColumn>
    <tableColumn id="6" name="Kolumna6" dataDxfId="1826"/>
  </tableColumns>
  <tableStyleInfo name="TableStyleLight9" showFirstColumn="0" showLastColumn="0" showRowStripes="1" showColumnStripes="0"/>
</table>
</file>

<file path=xl/tables/table358.xml><?xml version="1.0" encoding="utf-8"?>
<table xmlns="http://schemas.openxmlformats.org/spreadsheetml/2006/main" id="332" name="Tabela1539333" displayName="Tabela1539333" ref="B194:G203" headerRowCount="0" totalsRowShown="0">
  <tableColumns count="6">
    <tableColumn id="1" name="Kolumna1" dataDxfId="1825">
      <calculatedColumnFormula>'Wzorzec kategorii'!B156</calculatedColumnFormula>
    </tableColumn>
    <tableColumn id="2" name="Kolumna2" dataDxfId="1824"/>
    <tableColumn id="3" name="Kolumna3" dataDxfId="1823">
      <calculatedColumnFormula>SUM(Tabela2851345[#This Row])</calculatedColumnFormula>
    </tableColumn>
    <tableColumn id="4" name="Kolumna4" dataDxfId="1822">
      <calculatedColumnFormula>C194-D194</calculatedColumnFormula>
    </tableColumn>
    <tableColumn id="5" name="Kolumna5" dataDxfId="1821">
      <calculatedColumnFormula>IFERROR(D194/C194,"")</calculatedColumnFormula>
    </tableColumn>
    <tableColumn id="6" name="Kolumna6" dataDxfId="1820"/>
  </tableColumns>
  <tableStyleInfo name="TableStyleLight9" showFirstColumn="0" showLastColumn="0" showRowStripes="1" showColumnStripes="0"/>
</table>
</file>

<file path=xl/tables/table359.xml><?xml version="1.0" encoding="utf-8"?>
<table xmlns="http://schemas.openxmlformats.org/spreadsheetml/2006/main" id="333" name="Tabela1640334" displayName="Tabela1640334" ref="B206:G215" headerRowCount="0" totalsRowShown="0">
  <tableColumns count="6">
    <tableColumn id="1" name="Kolumna1" dataDxfId="1819">
      <calculatedColumnFormula>'Wzorzec kategorii'!B168</calculatedColumnFormula>
    </tableColumn>
    <tableColumn id="2" name="Kolumna2" dataDxfId="1818"/>
    <tableColumn id="3" name="Kolumna3" dataDxfId="1817">
      <calculatedColumnFormula>SUM(Tabela192345339[#This Row])</calculatedColumnFormula>
    </tableColumn>
    <tableColumn id="4" name="Kolumna4" dataDxfId="1816">
      <calculatedColumnFormula>C206-D206</calculatedColumnFormula>
    </tableColumn>
    <tableColumn id="5" name="Kolumna5" dataDxfId="1815">
      <calculatedColumnFormula>IFERROR(D206/C206,"")</calculatedColumnFormula>
    </tableColumn>
    <tableColumn id="6" name="Kolumna6" dataDxfId="1814"/>
  </tableColumns>
  <tableStyleInfo name="TableStyleLight9" showFirstColumn="0" showLastColumn="0" showRowStripes="1" showColumnStripes="0"/>
</table>
</file>

<file path=xl/tables/table36.xml><?xml version="1.0" encoding="utf-8"?>
<table xmlns="http://schemas.openxmlformats.org/spreadsheetml/2006/main" id="362" name="Tabela1438363" displayName="Tabela1438363" ref="B144:C153" headerRowCount="0" totalsRowShown="0">
  <tableColumns count="2">
    <tableColumn id="1" name="Kolumna1" dataDxfId="7873"/>
    <tableColumn id="2" name="Kolumna2" dataDxfId="7872"/>
  </tableColumns>
  <tableStyleInfo name="TableStyleLight9" showFirstColumn="0" showLastColumn="0" showRowStripes="1" showColumnStripes="0"/>
</table>
</file>

<file path=xl/tables/table360.xml><?xml version="1.0" encoding="utf-8"?>
<table xmlns="http://schemas.openxmlformats.org/spreadsheetml/2006/main" id="334" name="Tabela1841335" displayName="Tabela1841335" ref="I85:AM95" totalsRowShown="0" headerRowDxfId="1813" dataDxfId="1811" headerRowBorderDxfId="1812">
  <autoFilter ref="I85:AM9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810"/>
    <tableColumn id="2" name="2" dataDxfId="1809"/>
    <tableColumn id="3" name="3" dataDxfId="1808"/>
    <tableColumn id="4" name="4" dataDxfId="1807"/>
    <tableColumn id="5" name="5" dataDxfId="1806"/>
    <tableColumn id="6" name="6" dataDxfId="1805"/>
    <tableColumn id="7" name="7" dataDxfId="1804"/>
    <tableColumn id="8" name="8" dataDxfId="1803"/>
    <tableColumn id="9" name="9" dataDxfId="1802"/>
    <tableColumn id="10" name="10" dataDxfId="1801"/>
    <tableColumn id="11" name="11" dataDxfId="1800"/>
    <tableColumn id="12" name="12" dataDxfId="1799"/>
    <tableColumn id="13" name="13" dataDxfId="1798"/>
    <tableColumn id="14" name="14" dataDxfId="1797"/>
    <tableColumn id="15" name="15" dataDxfId="1796"/>
    <tableColumn id="16" name="16" dataDxfId="1795"/>
    <tableColumn id="17" name="17" dataDxfId="1794"/>
    <tableColumn id="18" name="18" dataDxfId="1793"/>
    <tableColumn id="19" name="19" dataDxfId="1792"/>
    <tableColumn id="20" name="20" dataDxfId="1791"/>
    <tableColumn id="21" name="21" dataDxfId="1790"/>
    <tableColumn id="22" name="22" dataDxfId="1789"/>
    <tableColumn id="23" name="23" dataDxfId="1788"/>
    <tableColumn id="24" name="24" dataDxfId="1787"/>
    <tableColumn id="25" name="25" dataDxfId="1786"/>
    <tableColumn id="26" name="26" dataDxfId="1785"/>
    <tableColumn id="27" name="27" dataDxfId="1784"/>
    <tableColumn id="28" name="28" dataDxfId="1783"/>
    <tableColumn id="29" name="29" dataDxfId="1782"/>
    <tableColumn id="30" name="30" dataDxfId="1781"/>
    <tableColumn id="31" name="31" dataDxfId="1780"/>
  </tableColumns>
  <tableStyleInfo name="TableStyleMedium9" showFirstColumn="0" showLastColumn="0" showRowStripes="1" showColumnStripes="0"/>
</table>
</file>

<file path=xl/tables/table361.xml><?xml version="1.0" encoding="utf-8"?>
<table xmlns="http://schemas.openxmlformats.org/spreadsheetml/2006/main" id="335" name="Tabela1942336" displayName="Tabela1942336" ref="I97:AM107" totalsRowShown="0" headerRowDxfId="1779" dataDxfId="1777" headerRowBorderDxfId="1778">
  <autoFilter ref="I97:AM10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776"/>
    <tableColumn id="2" name="2" dataDxfId="1775"/>
    <tableColumn id="3" name="3" dataDxfId="1774"/>
    <tableColumn id="4" name="4" dataDxfId="1773"/>
    <tableColumn id="5" name="5" dataDxfId="1772"/>
    <tableColumn id="6" name="6" dataDxfId="1771"/>
    <tableColumn id="7" name="7" dataDxfId="1770"/>
    <tableColumn id="8" name="8" dataDxfId="1769"/>
    <tableColumn id="9" name="9" dataDxfId="1768"/>
    <tableColumn id="10" name="10" dataDxfId="1767"/>
    <tableColumn id="11" name="11" dataDxfId="1766"/>
    <tableColumn id="12" name="12" dataDxfId="1765"/>
    <tableColumn id="13" name="13" dataDxfId="1764"/>
    <tableColumn id="14" name="14" dataDxfId="1763"/>
    <tableColumn id="15" name="15" dataDxfId="1762"/>
    <tableColumn id="16" name="16" dataDxfId="1761"/>
    <tableColumn id="17" name="17" dataDxfId="1760"/>
    <tableColumn id="18" name="18" dataDxfId="1759"/>
    <tableColumn id="19" name="19" dataDxfId="1758"/>
    <tableColumn id="20" name="20" dataDxfId="1757"/>
    <tableColumn id="21" name="21" dataDxfId="1756"/>
    <tableColumn id="22" name="22" dataDxfId="1755"/>
    <tableColumn id="23" name="23" dataDxfId="1754"/>
    <tableColumn id="24" name="24" dataDxfId="1753"/>
    <tableColumn id="25" name="25" dataDxfId="1752"/>
    <tableColumn id="26" name="26" dataDxfId="1751"/>
    <tableColumn id="27" name="27" dataDxfId="1750"/>
    <tableColumn id="28" name="28" dataDxfId="1749"/>
    <tableColumn id="29" name="29" dataDxfId="1748"/>
    <tableColumn id="30" name="30" dataDxfId="1747"/>
    <tableColumn id="31" name="31" dataDxfId="1746"/>
  </tableColumns>
  <tableStyleInfo name="TableStyleMedium9" showFirstColumn="0" showLastColumn="0" showRowStripes="1" showColumnStripes="0"/>
</table>
</file>

<file path=xl/tables/table362.xml><?xml version="1.0" encoding="utf-8"?>
<table xmlns="http://schemas.openxmlformats.org/spreadsheetml/2006/main" id="336" name="Tabela192143337" displayName="Tabela192143337" ref="I109:AM119" totalsRowShown="0" headerRowDxfId="1745" dataDxfId="1743" headerRowBorderDxfId="1744">
  <autoFilter ref="I109:AM1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742"/>
    <tableColumn id="2" name="2" dataDxfId="1741"/>
    <tableColumn id="3" name="3" dataDxfId="1740"/>
    <tableColumn id="4" name="4" dataDxfId="1739"/>
    <tableColumn id="5" name="5" dataDxfId="1738"/>
    <tableColumn id="6" name="6" dataDxfId="1737"/>
    <tableColumn id="7" name="7" dataDxfId="1736"/>
    <tableColumn id="8" name="8" dataDxfId="1735"/>
    <tableColumn id="9" name="9" dataDxfId="1734"/>
    <tableColumn id="10" name="10" dataDxfId="1733"/>
    <tableColumn id="11" name="11" dataDxfId="1732"/>
    <tableColumn id="12" name="12" dataDxfId="1731"/>
    <tableColumn id="13" name="13" dataDxfId="1730"/>
    <tableColumn id="14" name="14" dataDxfId="1729"/>
    <tableColumn id="15" name="15" dataDxfId="1728"/>
    <tableColumn id="16" name="16" dataDxfId="1727"/>
    <tableColumn id="17" name="17" dataDxfId="1726"/>
    <tableColumn id="18" name="18" dataDxfId="1725"/>
    <tableColumn id="19" name="19" dataDxfId="1724"/>
    <tableColumn id="20" name="20" dataDxfId="1723"/>
    <tableColumn id="21" name="21" dataDxfId="1722"/>
    <tableColumn id="22" name="22" dataDxfId="1721"/>
    <tableColumn id="23" name="23" dataDxfId="1720"/>
    <tableColumn id="24" name="24" dataDxfId="1719"/>
    <tableColumn id="25" name="25" dataDxfId="1718"/>
    <tableColumn id="26" name="26" dataDxfId="1717"/>
    <tableColumn id="27" name="27" dataDxfId="1716"/>
    <tableColumn id="28" name="28" dataDxfId="1715"/>
    <tableColumn id="29" name="29" dataDxfId="1714"/>
    <tableColumn id="30" name="30" dataDxfId="1713"/>
    <tableColumn id="31" name="31" dataDxfId="1712"/>
  </tableColumns>
  <tableStyleInfo name="TableStyleMedium9" showFirstColumn="0" showLastColumn="0" showRowStripes="1" showColumnStripes="0"/>
</table>
</file>

<file path=xl/tables/table363.xml><?xml version="1.0" encoding="utf-8"?>
<table xmlns="http://schemas.openxmlformats.org/spreadsheetml/2006/main" id="337" name="Tabela192244338" displayName="Tabela192244338" ref="I145:AM155" totalsRowShown="0" headerRowDxfId="1711" dataDxfId="1709" headerRowBorderDxfId="1710">
  <autoFilter ref="I145:AM1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708"/>
    <tableColumn id="2" name="2" dataDxfId="1707"/>
    <tableColumn id="3" name="3" dataDxfId="1706"/>
    <tableColumn id="4" name="4" dataDxfId="1705"/>
    <tableColumn id="5" name="5" dataDxfId="1704"/>
    <tableColumn id="6" name="6" dataDxfId="1703"/>
    <tableColumn id="7" name="7" dataDxfId="1702"/>
    <tableColumn id="8" name="8" dataDxfId="1701"/>
    <tableColumn id="9" name="9" dataDxfId="1700"/>
    <tableColumn id="10" name="10" dataDxfId="1699"/>
    <tableColumn id="11" name="11" dataDxfId="1698"/>
    <tableColumn id="12" name="12" dataDxfId="1697"/>
    <tableColumn id="13" name="13" dataDxfId="1696"/>
    <tableColumn id="14" name="14" dataDxfId="1695"/>
    <tableColumn id="15" name="15" dataDxfId="1694"/>
    <tableColumn id="16" name="16" dataDxfId="1693"/>
    <tableColumn id="17" name="17" dataDxfId="1692"/>
    <tableColumn id="18" name="18" dataDxfId="1691"/>
    <tableColumn id="19" name="19" dataDxfId="1690"/>
    <tableColumn id="20" name="20" dataDxfId="1689"/>
    <tableColumn id="21" name="21" dataDxfId="1688"/>
    <tableColumn id="22" name="22" dataDxfId="1687"/>
    <tableColumn id="23" name="23" dataDxfId="1686"/>
    <tableColumn id="24" name="24" dataDxfId="1685"/>
    <tableColumn id="25" name="25" dataDxfId="1684"/>
    <tableColumn id="26" name="26" dataDxfId="1683"/>
    <tableColumn id="27" name="27" dataDxfId="1682"/>
    <tableColumn id="28" name="28" dataDxfId="1681"/>
    <tableColumn id="29" name="29" dataDxfId="1680"/>
    <tableColumn id="30" name="30" dataDxfId="1679"/>
    <tableColumn id="31" name="31" dataDxfId="1678"/>
  </tableColumns>
  <tableStyleInfo name="TableStyleMedium9" showFirstColumn="0" showLastColumn="0" showRowStripes="1" showColumnStripes="0"/>
</table>
</file>

<file path=xl/tables/table364.xml><?xml version="1.0" encoding="utf-8"?>
<table xmlns="http://schemas.openxmlformats.org/spreadsheetml/2006/main" id="338" name="Tabela192345339" displayName="Tabela192345339" ref="I205:AM215" totalsRowShown="0" headerRowDxfId="1677" dataDxfId="1675" headerRowBorderDxfId="1676">
  <autoFilter ref="I205:AM2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674"/>
    <tableColumn id="2" name="2" dataDxfId="1673"/>
    <tableColumn id="3" name="3" dataDxfId="1672"/>
    <tableColumn id="4" name="4" dataDxfId="1671"/>
    <tableColumn id="5" name="5" dataDxfId="1670"/>
    <tableColumn id="6" name="6" dataDxfId="1669"/>
    <tableColumn id="7" name="7" dataDxfId="1668"/>
    <tableColumn id="8" name="8" dataDxfId="1667"/>
    <tableColumn id="9" name="9" dataDxfId="1666"/>
    <tableColumn id="10" name="10" dataDxfId="1665"/>
    <tableColumn id="11" name="11" dataDxfId="1664"/>
    <tableColumn id="12" name="12" dataDxfId="1663"/>
    <tableColumn id="13" name="13" dataDxfId="1662"/>
    <tableColumn id="14" name="14" dataDxfId="1661"/>
    <tableColumn id="15" name="15" dataDxfId="1660"/>
    <tableColumn id="16" name="16" dataDxfId="1659"/>
    <tableColumn id="17" name="17" dataDxfId="1658"/>
    <tableColumn id="18" name="18" dataDxfId="1657"/>
    <tableColumn id="19" name="19" dataDxfId="1656"/>
    <tableColumn id="20" name="20" dataDxfId="1655"/>
    <tableColumn id="21" name="21" dataDxfId="1654"/>
    <tableColumn id="22" name="22" dataDxfId="1653"/>
    <tableColumn id="23" name="23" dataDxfId="1652"/>
    <tableColumn id="24" name="24" dataDxfId="1651"/>
    <tableColumn id="25" name="25" dataDxfId="1650"/>
    <tableColumn id="26" name="26" dataDxfId="1649"/>
    <tableColumn id="27" name="27" dataDxfId="1648"/>
    <tableColumn id="28" name="28" dataDxfId="1647"/>
    <tableColumn id="29" name="29" dataDxfId="1646"/>
    <tableColumn id="30" name="30" dataDxfId="1645"/>
    <tableColumn id="31" name="31" dataDxfId="1644"/>
  </tableColumns>
  <tableStyleInfo name="TableStyleMedium9" showFirstColumn="0" showLastColumn="0" showRowStripes="1" showColumnStripes="0"/>
</table>
</file>

<file path=xl/tables/table365.xml><?xml version="1.0" encoding="utf-8"?>
<table xmlns="http://schemas.openxmlformats.org/spreadsheetml/2006/main" id="339" name="Tabela19212446340" displayName="Tabela19212446340" ref="I133:AM143" totalsRowShown="0" headerRowDxfId="1643" dataDxfId="1641" headerRowBorderDxfId="1642">
  <autoFilter ref="I133:AM1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640"/>
    <tableColumn id="2" name="2" dataDxfId="1639"/>
    <tableColumn id="3" name="3" dataDxfId="1638"/>
    <tableColumn id="4" name="4" dataDxfId="1637"/>
    <tableColumn id="5" name="5" dataDxfId="1636"/>
    <tableColumn id="6" name="6" dataDxfId="1635"/>
    <tableColumn id="7" name="7" dataDxfId="1634"/>
    <tableColumn id="8" name="8" dataDxfId="1633"/>
    <tableColumn id="9" name="9" dataDxfId="1632"/>
    <tableColumn id="10" name="10" dataDxfId="1631"/>
    <tableColumn id="11" name="11" dataDxfId="1630"/>
    <tableColumn id="12" name="12" dataDxfId="1629"/>
    <tableColumn id="13" name="13" dataDxfId="1628"/>
    <tableColumn id="14" name="14" dataDxfId="1627"/>
    <tableColumn id="15" name="15" dataDxfId="1626"/>
    <tableColumn id="16" name="16" dataDxfId="1625"/>
    <tableColumn id="17" name="17" dataDxfId="1624"/>
    <tableColumn id="18" name="18" dataDxfId="1623"/>
    <tableColumn id="19" name="19" dataDxfId="1622"/>
    <tableColumn id="20" name="20" dataDxfId="1621"/>
    <tableColumn id="21" name="21" dataDxfId="1620"/>
    <tableColumn id="22" name="22" dataDxfId="1619"/>
    <tableColumn id="23" name="23" dataDxfId="1618"/>
    <tableColumn id="24" name="24" dataDxfId="1617"/>
    <tableColumn id="25" name="25" dataDxfId="1616"/>
    <tableColumn id="26" name="26" dataDxfId="1615"/>
    <tableColumn id="27" name="27" dataDxfId="1614"/>
    <tableColumn id="28" name="28" dataDxfId="1613"/>
    <tableColumn id="29" name="29" dataDxfId="1612"/>
    <tableColumn id="30" name="30" dataDxfId="1611"/>
    <tableColumn id="31" name="31" dataDxfId="1610"/>
  </tableColumns>
  <tableStyleInfo name="TableStyleMedium9" showFirstColumn="0" showLastColumn="0" showRowStripes="1" showColumnStripes="0"/>
</table>
</file>

<file path=xl/tables/table366.xml><?xml version="1.0" encoding="utf-8"?>
<table xmlns="http://schemas.openxmlformats.org/spreadsheetml/2006/main" id="340" name="Tabela19212547341" displayName="Tabela19212547341" ref="I121:AM131" totalsRowShown="0" headerRowDxfId="1609" dataDxfId="1607" headerRowBorderDxfId="1608">
  <autoFilter ref="I121:AM1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606"/>
    <tableColumn id="2" name="2" dataDxfId="1605"/>
    <tableColumn id="3" name="3" dataDxfId="1604"/>
    <tableColumn id="4" name="4" dataDxfId="1603"/>
    <tableColumn id="5" name="5" dataDxfId="1602"/>
    <tableColumn id="6" name="6" dataDxfId="1601"/>
    <tableColumn id="7" name="7" dataDxfId="1600"/>
    <tableColumn id="8" name="8" dataDxfId="1599"/>
    <tableColumn id="9" name="9" dataDxfId="1598"/>
    <tableColumn id="10" name="10" dataDxfId="1597"/>
    <tableColumn id="11" name="11" dataDxfId="1596"/>
    <tableColumn id="12" name="12" dataDxfId="1595"/>
    <tableColumn id="13" name="13" dataDxfId="1594"/>
    <tableColumn id="14" name="14" dataDxfId="1593"/>
    <tableColumn id="15" name="15" dataDxfId="1592"/>
    <tableColumn id="16" name="16" dataDxfId="1591"/>
    <tableColumn id="17" name="17" dataDxfId="1590"/>
    <tableColumn id="18" name="18" dataDxfId="1589"/>
    <tableColumn id="19" name="19" dataDxfId="1588"/>
    <tableColumn id="20" name="20" dataDxfId="1587"/>
    <tableColumn id="21" name="21" dataDxfId="1586"/>
    <tableColumn id="22" name="22" dataDxfId="1585"/>
    <tableColumn id="23" name="23" dataDxfId="1584"/>
    <tableColumn id="24" name="24" dataDxfId="1583"/>
    <tableColumn id="25" name="25" dataDxfId="1582"/>
    <tableColumn id="26" name="26" dataDxfId="1581"/>
    <tableColumn id="27" name="27" dataDxfId="1580"/>
    <tableColumn id="28" name="28" dataDxfId="1579"/>
    <tableColumn id="29" name="29" dataDxfId="1578"/>
    <tableColumn id="30" name="30" dataDxfId="1577"/>
    <tableColumn id="31" name="31" dataDxfId="1576"/>
  </tableColumns>
  <tableStyleInfo name="TableStyleMedium9" showFirstColumn="0" showLastColumn="0" showRowStripes="1" showColumnStripes="0"/>
</table>
</file>

<file path=xl/tables/table367.xml><?xml version="1.0" encoding="utf-8"?>
<table xmlns="http://schemas.openxmlformats.org/spreadsheetml/2006/main" id="341" name="Tabela2548342" displayName="Tabela2548342" ref="I157:AM167" totalsRowShown="0" headerRowDxfId="1575" dataDxfId="1574">
  <autoFilter ref="I157:AM1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573"/>
    <tableColumn id="2" name="2" dataDxfId="1572"/>
    <tableColumn id="3" name="3" dataDxfId="1571"/>
    <tableColumn id="4" name="4" dataDxfId="1570"/>
    <tableColumn id="5" name="5" dataDxfId="1569"/>
    <tableColumn id="6" name="6" dataDxfId="1568"/>
    <tableColumn id="7" name="7" dataDxfId="1567"/>
    <tableColumn id="8" name="8" dataDxfId="1566"/>
    <tableColumn id="9" name="9" dataDxfId="1565"/>
    <tableColumn id="10" name="10" dataDxfId="1564"/>
    <tableColumn id="11" name="11" dataDxfId="1563"/>
    <tableColumn id="12" name="12" dataDxfId="1562"/>
    <tableColumn id="13" name="13" dataDxfId="1561"/>
    <tableColumn id="14" name="14" dataDxfId="1560"/>
    <tableColumn id="15" name="15" dataDxfId="1559"/>
    <tableColumn id="16" name="16" dataDxfId="1558"/>
    <tableColumn id="17" name="17" dataDxfId="1557"/>
    <tableColumn id="18" name="18" dataDxfId="1556"/>
    <tableColumn id="19" name="19" dataDxfId="1555"/>
    <tableColumn id="20" name="20" dataDxfId="1554"/>
    <tableColumn id="21" name="21" dataDxfId="1553"/>
    <tableColumn id="22" name="22" dataDxfId="1552"/>
    <tableColumn id="23" name="23" dataDxfId="1551"/>
    <tableColumn id="24" name="24" dataDxfId="1550"/>
    <tableColumn id="25" name="25" dataDxfId="1549"/>
    <tableColumn id="26" name="26" dataDxfId="1548"/>
    <tableColumn id="27" name="27" dataDxfId="1547"/>
    <tableColumn id="28" name="28" dataDxfId="1546"/>
    <tableColumn id="29" name="29" dataDxfId="1545"/>
    <tableColumn id="30" name="30" dataDxfId="1544"/>
    <tableColumn id="31" name="31" dataDxfId="1543"/>
  </tableColumns>
  <tableStyleInfo name="TableStyleMedium9" showFirstColumn="0" showLastColumn="0" showRowStripes="1" showColumnStripes="0"/>
</table>
</file>

<file path=xl/tables/table368.xml><?xml version="1.0" encoding="utf-8"?>
<table xmlns="http://schemas.openxmlformats.org/spreadsheetml/2006/main" id="342" name="Tabela2649343" displayName="Tabela2649343" ref="I169:AM179" totalsRowShown="0" headerRowDxfId="1542" headerRowBorderDxfId="1541">
  <autoFilter ref="I169:AM1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540"/>
    <tableColumn id="2" name="2" dataDxfId="1539"/>
    <tableColumn id="3" name="3" dataDxfId="1538"/>
    <tableColumn id="4" name="4" dataDxfId="1537"/>
    <tableColumn id="5" name="5" dataDxfId="1536"/>
    <tableColumn id="6" name="6" dataDxfId="1535"/>
    <tableColumn id="7" name="7" dataDxfId="1534"/>
    <tableColumn id="8" name="8" dataDxfId="1533"/>
    <tableColumn id="9" name="9" dataDxfId="1532"/>
    <tableColumn id="10" name="10" dataDxfId="1531"/>
    <tableColumn id="11" name="11" dataDxfId="1530"/>
    <tableColumn id="12" name="12" dataDxfId="1529"/>
    <tableColumn id="13" name="13" dataDxfId="1528"/>
    <tableColumn id="14" name="14" dataDxfId="1527"/>
    <tableColumn id="15" name="15" dataDxfId="1526"/>
    <tableColumn id="16" name="16" dataDxfId="1525"/>
    <tableColumn id="17" name="17" dataDxfId="1524"/>
    <tableColumn id="18" name="18" dataDxfId="1523"/>
    <tableColumn id="19" name="19" dataDxfId="1522"/>
    <tableColumn id="20" name="20" dataDxfId="1521"/>
    <tableColumn id="21" name="21" dataDxfId="1520"/>
    <tableColumn id="22" name="22" dataDxfId="1519"/>
    <tableColumn id="23" name="23" dataDxfId="1518"/>
    <tableColumn id="24" name="24" dataDxfId="1517"/>
    <tableColumn id="25" name="25" dataDxfId="1516"/>
    <tableColumn id="26" name="26" dataDxfId="1515"/>
    <tableColumn id="27" name="27" dataDxfId="1514"/>
    <tableColumn id="28" name="28" dataDxfId="1513"/>
    <tableColumn id="29" name="29" dataDxfId="1512"/>
    <tableColumn id="30" name="30" dataDxfId="1511"/>
    <tableColumn id="31" name="31" dataDxfId="1510"/>
  </tableColumns>
  <tableStyleInfo name="TableStyleMedium9" showFirstColumn="0" showLastColumn="0" showRowStripes="1" showColumnStripes="0"/>
</table>
</file>

<file path=xl/tables/table369.xml><?xml version="1.0" encoding="utf-8"?>
<table xmlns="http://schemas.openxmlformats.org/spreadsheetml/2006/main" id="343" name="Tabela2750344" displayName="Tabela2750344" ref="I181:AM191" totalsRowShown="0" headerRowDxfId="1509">
  <autoFilter ref="I181:AM19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508"/>
    <tableColumn id="2" name="2" dataDxfId="1507"/>
    <tableColumn id="3" name="3" dataDxfId="1506"/>
    <tableColumn id="4" name="4" dataDxfId="1505"/>
    <tableColumn id="5" name="5" dataDxfId="1504"/>
    <tableColumn id="6" name="6" dataDxfId="1503"/>
    <tableColumn id="7" name="7" dataDxfId="1502"/>
    <tableColumn id="8" name="8" dataDxfId="1501"/>
    <tableColumn id="9" name="9" dataDxfId="1500"/>
    <tableColumn id="10" name="10" dataDxfId="1499"/>
    <tableColumn id="11" name="11" dataDxfId="1498"/>
    <tableColumn id="12" name="12" dataDxfId="1497"/>
    <tableColumn id="13" name="13" dataDxfId="1496"/>
    <tableColumn id="14" name="14" dataDxfId="1495"/>
    <tableColumn id="15" name="15" dataDxfId="1494"/>
    <tableColumn id="16" name="16" dataDxfId="1493"/>
    <tableColumn id="17" name="17" dataDxfId="1492"/>
    <tableColumn id="18" name="18" dataDxfId="1491"/>
    <tableColumn id="19" name="19" dataDxfId="1490"/>
    <tableColumn id="20" name="20" dataDxfId="1489"/>
    <tableColumn id="21" name="21" dataDxfId="1488"/>
    <tableColumn id="22" name="22" dataDxfId="1487"/>
    <tableColumn id="23" name="23" dataDxfId="1486"/>
    <tableColumn id="24" name="24" dataDxfId="1485"/>
    <tableColumn id="25" name="25" dataDxfId="1484"/>
    <tableColumn id="26" name="26" dataDxfId="1483"/>
    <tableColumn id="27" name="27" dataDxfId="1482"/>
    <tableColumn id="28" name="28" dataDxfId="1481"/>
    <tableColumn id="29" name="29" dataDxfId="1480"/>
    <tableColumn id="30" name="30" dataDxfId="1479"/>
    <tableColumn id="31" name="31" dataDxfId="1478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63" name="Tabela1539364" displayName="Tabela1539364" ref="B156:C165" headerRowCount="0" totalsRowShown="0">
  <tableColumns count="2">
    <tableColumn id="1" name="Kolumna1" dataDxfId="7871"/>
    <tableColumn id="2" name="Kolumna2" dataDxfId="7870"/>
  </tableColumns>
  <tableStyleInfo name="TableStyleLight9" showFirstColumn="0" showLastColumn="0" showRowStripes="1" showColumnStripes="0"/>
</table>
</file>

<file path=xl/tables/table370.xml><?xml version="1.0" encoding="utf-8"?>
<table xmlns="http://schemas.openxmlformats.org/spreadsheetml/2006/main" id="344" name="Tabela2851345" displayName="Tabela2851345" ref="I193:AM203" totalsRowShown="0" headerRowDxfId="1477" dataDxfId="1475" headerRowBorderDxfId="1476">
  <autoFilter ref="I193:AM20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474"/>
    <tableColumn id="2" name="2" dataDxfId="1473"/>
    <tableColumn id="3" name="3" dataDxfId="1472"/>
    <tableColumn id="4" name="4" dataDxfId="1471"/>
    <tableColumn id="5" name="5" dataDxfId="1470"/>
    <tableColumn id="6" name="6" dataDxfId="1469"/>
    <tableColumn id="7" name="7" dataDxfId="1468"/>
    <tableColumn id="8" name="8" dataDxfId="1467"/>
    <tableColumn id="9" name="9" dataDxfId="1466"/>
    <tableColumn id="10" name="10" dataDxfId="1465"/>
    <tableColumn id="11" name="11" dataDxfId="1464"/>
    <tableColumn id="12" name="12" dataDxfId="1463"/>
    <tableColumn id="13" name="13" dataDxfId="1462"/>
    <tableColumn id="14" name="14" dataDxfId="1461"/>
    <tableColumn id="15" name="15" dataDxfId="1460"/>
    <tableColumn id="16" name="16" dataDxfId="1459"/>
    <tableColumn id="17" name="17" dataDxfId="1458"/>
    <tableColumn id="18" name="18" dataDxfId="1457"/>
    <tableColumn id="19" name="19" dataDxfId="1456"/>
    <tableColumn id="20" name="20" dataDxfId="1455"/>
    <tableColumn id="21" name="21" dataDxfId="1454"/>
    <tableColumn id="22" name="22" dataDxfId="1453"/>
    <tableColumn id="23" name="23" dataDxfId="1452"/>
    <tableColumn id="24" name="24" dataDxfId="1451"/>
    <tableColumn id="25" name="25" dataDxfId="1450"/>
    <tableColumn id="26" name="26" dataDxfId="1449"/>
    <tableColumn id="27" name="27" dataDxfId="1448"/>
    <tableColumn id="28" name="28" dataDxfId="1447"/>
    <tableColumn id="29" name="29" dataDxfId="1446"/>
    <tableColumn id="30" name="30" dataDxfId="1445"/>
    <tableColumn id="31" name="31" dataDxfId="1444"/>
  </tableColumns>
  <tableStyleInfo name="TableStyleMedium9" showFirstColumn="0" showLastColumn="0" showRowStripes="1" showColumnStripes="0"/>
</table>
</file>

<file path=xl/tables/table371.xml><?xml version="1.0" encoding="utf-8"?>
<table xmlns="http://schemas.openxmlformats.org/spreadsheetml/2006/main" id="345" name="Tabela164058346" displayName="Tabela164058346" ref="B218:G227" headerRowCount="0" totalsRowShown="0">
  <tableColumns count="6">
    <tableColumn id="1" name="Kolumna1" dataDxfId="1443">
      <calculatedColumnFormula>'Wzorzec kategorii'!B180</calculatedColumnFormula>
    </tableColumn>
    <tableColumn id="2" name="Kolumna2" dataDxfId="1442"/>
    <tableColumn id="3" name="Kolumna3" dataDxfId="1441">
      <calculatedColumnFormula>SUM(Tabela19234559347[#This Row])</calculatedColumnFormula>
    </tableColumn>
    <tableColumn id="4" name="Kolumna4" dataDxfId="1440">
      <calculatedColumnFormula>C218-D218</calculatedColumnFormula>
    </tableColumn>
    <tableColumn id="5" name="Kolumna5" dataDxfId="1439">
      <calculatedColumnFormula>IFERROR(D218/C218,"")</calculatedColumnFormula>
    </tableColumn>
    <tableColumn id="6" name="Kolumna6" dataDxfId="1438"/>
  </tableColumns>
  <tableStyleInfo name="TableStyleLight9" showFirstColumn="0" showLastColumn="0" showRowStripes="1" showColumnStripes="0"/>
</table>
</file>

<file path=xl/tables/table372.xml><?xml version="1.0" encoding="utf-8"?>
<table xmlns="http://schemas.openxmlformats.org/spreadsheetml/2006/main" id="346" name="Tabela19234559347" displayName="Tabela19234559347" ref="I217:AM227" totalsRowShown="0" headerRowDxfId="1437" dataDxfId="1435" headerRowBorderDxfId="1436">
  <autoFilter ref="I217:AM2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434"/>
    <tableColumn id="2" name="2" dataDxfId="1433"/>
    <tableColumn id="3" name="3" dataDxfId="1432"/>
    <tableColumn id="4" name="4" dataDxfId="1431"/>
    <tableColumn id="5" name="5" dataDxfId="1430"/>
    <tableColumn id="6" name="6" dataDxfId="1429"/>
    <tableColumn id="7" name="7" dataDxfId="1428"/>
    <tableColumn id="8" name="8" dataDxfId="1427"/>
    <tableColumn id="9" name="9" dataDxfId="1426"/>
    <tableColumn id="10" name="10" dataDxfId="1425"/>
    <tableColumn id="11" name="11" dataDxfId="1424"/>
    <tableColumn id="12" name="12" dataDxfId="1423"/>
    <tableColumn id="13" name="13" dataDxfId="1422"/>
    <tableColumn id="14" name="14" dataDxfId="1421"/>
    <tableColumn id="15" name="15" dataDxfId="1420"/>
    <tableColumn id="16" name="16" dataDxfId="1419"/>
    <tableColumn id="17" name="17" dataDxfId="1418"/>
    <tableColumn id="18" name="18" dataDxfId="1417"/>
    <tableColumn id="19" name="19" dataDxfId="1416"/>
    <tableColumn id="20" name="20" dataDxfId="1415"/>
    <tableColumn id="21" name="21" dataDxfId="1414"/>
    <tableColumn id="22" name="22" dataDxfId="1413"/>
    <tableColumn id="23" name="23" dataDxfId="1412"/>
    <tableColumn id="24" name="24" dataDxfId="1411"/>
    <tableColumn id="25" name="25" dataDxfId="1410"/>
    <tableColumn id="26" name="26" dataDxfId="1409"/>
    <tableColumn id="27" name="27" dataDxfId="1408"/>
    <tableColumn id="28" name="28" dataDxfId="1407"/>
    <tableColumn id="29" name="29" dataDxfId="1406"/>
    <tableColumn id="30" name="30" dataDxfId="1405"/>
    <tableColumn id="31" name="31" dataDxfId="1404"/>
  </tableColumns>
  <tableStyleInfo name="TableStyleMedium9" showFirstColumn="0" showLastColumn="0" showRowStripes="1" showColumnStripes="0"/>
</table>
</file>

<file path=xl/tables/table373.xml><?xml version="1.0" encoding="utf-8"?>
<table xmlns="http://schemas.openxmlformats.org/spreadsheetml/2006/main" id="347" name="Tabela16405860348" displayName="Tabela16405860348" ref="B230:G239" headerRowCount="0" totalsRowShown="0">
  <tableColumns count="6">
    <tableColumn id="1" name="Kolumna1" dataDxfId="1403">
      <calculatedColumnFormula>'Wzorzec kategorii'!B192</calculatedColumnFormula>
    </tableColumn>
    <tableColumn id="2" name="Kolumna2" dataDxfId="1402"/>
    <tableColumn id="3" name="Kolumna3" dataDxfId="1401">
      <calculatedColumnFormula>SUM(Tabela1923455962350[#This Row])</calculatedColumnFormula>
    </tableColumn>
    <tableColumn id="4" name="Kolumna4" dataDxfId="1400">
      <calculatedColumnFormula>C230-D230</calculatedColumnFormula>
    </tableColumn>
    <tableColumn id="5" name="Kolumna5" dataDxfId="1399">
      <calculatedColumnFormula>IFERROR(D230/C230,"")</calculatedColumnFormula>
    </tableColumn>
    <tableColumn id="6" name="Kolumna6" dataDxfId="1398"/>
  </tableColumns>
  <tableStyleInfo name="TableStyleLight9" showFirstColumn="0" showLastColumn="0" showRowStripes="1" showColumnStripes="0"/>
</table>
</file>

<file path=xl/tables/table374.xml><?xml version="1.0" encoding="utf-8"?>
<table xmlns="http://schemas.openxmlformats.org/spreadsheetml/2006/main" id="348" name="Tabela1640586061349" displayName="Tabela1640586061349" ref="B242:G251" headerRowCount="0" totalsRowShown="0">
  <tableColumns count="6">
    <tableColumn id="1" name="Kolumna1" dataDxfId="1397">
      <calculatedColumnFormula>'Wzorzec kategorii'!B204</calculatedColumnFormula>
    </tableColumn>
    <tableColumn id="2" name="Kolumna2" dataDxfId="1396"/>
    <tableColumn id="3" name="Kolumna3" dataDxfId="1395">
      <calculatedColumnFormula>SUM(Tabela1923455963351[#This Row])</calculatedColumnFormula>
    </tableColumn>
    <tableColumn id="4" name="Kolumna4" dataDxfId="1394">
      <calculatedColumnFormula>C242-D242</calculatedColumnFormula>
    </tableColumn>
    <tableColumn id="5" name="Kolumna5" dataDxfId="1393">
      <calculatedColumnFormula>IFERROR(D242/C242,"")</calculatedColumnFormula>
    </tableColumn>
    <tableColumn id="6" name="Kolumna6" dataDxfId="1392"/>
  </tableColumns>
  <tableStyleInfo name="TableStyleLight9" showFirstColumn="0" showLastColumn="0" showRowStripes="1" showColumnStripes="0"/>
</table>
</file>

<file path=xl/tables/table375.xml><?xml version="1.0" encoding="utf-8"?>
<table xmlns="http://schemas.openxmlformats.org/spreadsheetml/2006/main" id="349" name="Tabela1923455962350" displayName="Tabela1923455962350" ref="I229:AM239" totalsRowShown="0" headerRowDxfId="1391" dataDxfId="1389" headerRowBorderDxfId="1390">
  <autoFilter ref="I229:AM2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388"/>
    <tableColumn id="2" name="2" dataDxfId="1387"/>
    <tableColumn id="3" name="3" dataDxfId="1386"/>
    <tableColumn id="4" name="4" dataDxfId="1385"/>
    <tableColumn id="5" name="5" dataDxfId="1384"/>
    <tableColumn id="6" name="6" dataDxfId="1383"/>
    <tableColumn id="7" name="7" dataDxfId="1382"/>
    <tableColumn id="8" name="8" dataDxfId="1381"/>
    <tableColumn id="9" name="9" dataDxfId="1380"/>
    <tableColumn id="10" name="10" dataDxfId="1379"/>
    <tableColumn id="11" name="11" dataDxfId="1378"/>
    <tableColumn id="12" name="12" dataDxfId="1377"/>
    <tableColumn id="13" name="13" dataDxfId="1376"/>
    <tableColumn id="14" name="14" dataDxfId="1375"/>
    <tableColumn id="15" name="15" dataDxfId="1374"/>
    <tableColumn id="16" name="16" dataDxfId="1373"/>
    <tableColumn id="17" name="17" dataDxfId="1372"/>
    <tableColumn id="18" name="18" dataDxfId="1371"/>
    <tableColumn id="19" name="19" dataDxfId="1370"/>
    <tableColumn id="20" name="20" dataDxfId="1369"/>
    <tableColumn id="21" name="21" dataDxfId="1368"/>
    <tableColumn id="22" name="22" dataDxfId="1367"/>
    <tableColumn id="23" name="23" dataDxfId="1366"/>
    <tableColumn id="24" name="24" dataDxfId="1365"/>
    <tableColumn id="25" name="25" dataDxfId="1364"/>
    <tableColumn id="26" name="26" dataDxfId="1363"/>
    <tableColumn id="27" name="27" dataDxfId="1362"/>
    <tableColumn id="28" name="28" dataDxfId="1361"/>
    <tableColumn id="29" name="29" dataDxfId="1360"/>
    <tableColumn id="30" name="30" dataDxfId="1359"/>
    <tableColumn id="31" name="31" dataDxfId="1358"/>
  </tableColumns>
  <tableStyleInfo name="TableStyleMedium9" showFirstColumn="0" showLastColumn="0" showRowStripes="1" showColumnStripes="0"/>
</table>
</file>

<file path=xl/tables/table376.xml><?xml version="1.0" encoding="utf-8"?>
<table xmlns="http://schemas.openxmlformats.org/spreadsheetml/2006/main" id="350" name="Tabela1923455963351" displayName="Tabela1923455963351" ref="I241:AM251" totalsRowShown="0" headerRowDxfId="1357" dataDxfId="1355" headerRowBorderDxfId="1356">
  <autoFilter ref="I241:AM25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354"/>
    <tableColumn id="2" name="2" dataDxfId="1353"/>
    <tableColumn id="3" name="3" dataDxfId="1352"/>
    <tableColumn id="4" name="4" dataDxfId="1351"/>
    <tableColumn id="5" name="5" dataDxfId="1350"/>
    <tableColumn id="6" name="6" dataDxfId="1349"/>
    <tableColumn id="7" name="7" dataDxfId="1348"/>
    <tableColumn id="8" name="8" dataDxfId="1347"/>
    <tableColumn id="9" name="9" dataDxfId="1346"/>
    <tableColumn id="10" name="10" dataDxfId="1345"/>
    <tableColumn id="11" name="11" dataDxfId="1344"/>
    <tableColumn id="12" name="12" dataDxfId="1343"/>
    <tableColumn id="13" name="13" dataDxfId="1342"/>
    <tableColumn id="14" name="14" dataDxfId="1341"/>
    <tableColumn id="15" name="15" dataDxfId="1340"/>
    <tableColumn id="16" name="16" dataDxfId="1339"/>
    <tableColumn id="17" name="17" dataDxfId="1338"/>
    <tableColumn id="18" name="18" dataDxfId="1337"/>
    <tableColumn id="19" name="19" dataDxfId="1336"/>
    <tableColumn id="20" name="20" dataDxfId="1335"/>
    <tableColumn id="21" name="21" dataDxfId="1334"/>
    <tableColumn id="22" name="22" dataDxfId="1333"/>
    <tableColumn id="23" name="23" dataDxfId="1332"/>
    <tableColumn id="24" name="24" dataDxfId="1331"/>
    <tableColumn id="25" name="25" dataDxfId="1330"/>
    <tableColumn id="26" name="26" dataDxfId="1329"/>
    <tableColumn id="27" name="27" dataDxfId="1328"/>
    <tableColumn id="28" name="28" dataDxfId="1327"/>
    <tableColumn id="29" name="29" dataDxfId="1326"/>
    <tableColumn id="30" name="30" dataDxfId="1325"/>
    <tableColumn id="31" name="31" dataDxfId="1324"/>
  </tableColumns>
  <tableStyleInfo name="TableStyleMedium9" showFirstColumn="0" showLastColumn="0" showRowStripes="1" showColumnStripes="0"/>
</table>
</file>

<file path=xl/tables/table377.xml><?xml version="1.0" encoding="utf-8"?>
<table xmlns="http://schemas.openxmlformats.org/spreadsheetml/2006/main" id="354" name="Tabela33064355" displayName="Tabela33064355" ref="I51:AM66" totalsRowShown="0" headerRowDxfId="1323">
  <autoFilter ref="I51:AM6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322"/>
    <tableColumn id="2" name="2" dataDxfId="1321"/>
    <tableColumn id="3" name="3" dataDxfId="1320"/>
    <tableColumn id="4" name="4" dataDxfId="1319"/>
    <tableColumn id="5" name="5" dataDxfId="1318"/>
    <tableColumn id="6" name="6" dataDxfId="1317"/>
    <tableColumn id="7" name="7" dataDxfId="1316"/>
    <tableColumn id="8" name="8" dataDxfId="1315"/>
    <tableColumn id="9" name="9" dataDxfId="1314"/>
    <tableColumn id="10" name="10" dataDxfId="1313"/>
    <tableColumn id="11" name="11" dataDxfId="1312"/>
    <tableColumn id="12" name="12" dataDxfId="1311"/>
    <tableColumn id="13" name="13" dataDxfId="1310"/>
    <tableColumn id="14" name="14" dataDxfId="1309"/>
    <tableColumn id="15" name="15" dataDxfId="1308"/>
    <tableColumn id="16" name="16" dataDxfId="1307"/>
    <tableColumn id="17" name="17" dataDxfId="1306"/>
    <tableColumn id="18" name="18" dataDxfId="1305"/>
    <tableColumn id="19" name="19" dataDxfId="1304"/>
    <tableColumn id="20" name="20" dataDxfId="1303"/>
    <tableColumn id="21" name="21" dataDxfId="1302"/>
    <tableColumn id="22" name="22" dataDxfId="1301"/>
    <tableColumn id="23" name="23" dataDxfId="1300"/>
    <tableColumn id="24" name="24" dataDxfId="1299"/>
    <tableColumn id="25" name="25" dataDxfId="1298"/>
    <tableColumn id="26" name="26" dataDxfId="1297"/>
    <tableColumn id="27" name="27" dataDxfId="1296"/>
    <tableColumn id="28" name="28" dataDxfId="1295"/>
    <tableColumn id="29" name="29" dataDxfId="1294"/>
    <tableColumn id="30" name="30" dataDxfId="1293"/>
    <tableColumn id="31" name="31" dataDxfId="1292"/>
  </tableColumns>
  <tableStyleInfo name="TableStyleMedium9" showFirstColumn="0" showLastColumn="0" showRowStripes="1" showColumnStripes="0"/>
</table>
</file>

<file path=xl/tables/table378.xml><?xml version="1.0" encoding="utf-8"?>
<table xmlns="http://schemas.openxmlformats.org/spreadsheetml/2006/main" id="365" name="Jedzenie2366" displayName="Jedzenie2366" ref="B74:G83" headerRowCount="0" totalsRowShown="0" headerRowDxfId="1291" dataDxfId="1290">
  <tableColumns count="6">
    <tableColumn id="1" name="Kategoria" dataDxfId="1289">
      <calculatedColumnFormula>'Wzorzec kategorii'!B36</calculatedColumnFormula>
    </tableColumn>
    <tableColumn id="2" name="0" headerRowDxfId="1288" dataDxfId="1287"/>
    <tableColumn id="3" name="02" headerRowDxfId="1286" dataDxfId="1285">
      <calculatedColumnFormula>SUM(Tabela330369[#This Row])</calculatedColumnFormula>
    </tableColumn>
    <tableColumn id="4" name="Kolumna4" dataDxfId="1284">
      <calculatedColumnFormula>C74-D74</calculatedColumnFormula>
    </tableColumn>
    <tableColumn id="5" name="Kolumna1" dataDxfId="1283">
      <calculatedColumnFormula>IFERROR(D74/C74,"")</calculatedColumnFormula>
    </tableColumn>
    <tableColumn id="6" name="Kolumna2" dataDxfId="1282"/>
  </tableColumns>
  <tableStyleInfo name="TableStyleLight9" showFirstColumn="0" showLastColumn="0" showRowStripes="1" showColumnStripes="0"/>
</table>
</file>

<file path=xl/tables/table379.xml><?xml version="1.0" encoding="utf-8"?>
<table xmlns="http://schemas.openxmlformats.org/spreadsheetml/2006/main" id="366" name="Transport3367" displayName="Transport3367" ref="B98:G107" headerRowCount="0" totalsRowShown="0">
  <tableColumns count="6">
    <tableColumn id="1" name="Kolumna1" dataDxfId="1281">
      <calculatedColumnFormula>'Wzorzec kategorii'!B60</calculatedColumnFormula>
    </tableColumn>
    <tableColumn id="2" name="Kolumna2" dataDxfId="1280"/>
    <tableColumn id="3" name="Kolumna3" dataDxfId="1279">
      <calculatedColumnFormula>SUM(Tabela1942394[#This Row])</calculatedColumnFormula>
    </tableColumn>
    <tableColumn id="4" name="Kolumna4" dataDxfId="1278">
      <calculatedColumnFormula>C98-D98</calculatedColumnFormula>
    </tableColumn>
    <tableColumn id="5" name="Kolumna5" dataDxfId="1277">
      <calculatedColumnFormula>IFERROR(D98/C98,"")</calculatedColumnFormula>
    </tableColumn>
    <tableColumn id="6" name="Kolumna6" dataDxfId="1276"/>
  </tableColumns>
  <tableStyleInfo name="TableStyleLight9" showFirstColumn="0" showLastColumn="0" showRowStripes="1" showColumnStripes="0"/>
</table>
</file>

<file path=xl/tables/table38.xml><?xml version="1.0" encoding="utf-8"?>
<table xmlns="http://schemas.openxmlformats.org/spreadsheetml/2006/main" id="364" name="Tabela1640365" displayName="Tabela1640365" ref="B168:C177" headerRowCount="0" totalsRowShown="0">
  <tableColumns count="2">
    <tableColumn id="1" name="Kolumna1" dataDxfId="7869"/>
    <tableColumn id="2" name="Kolumna2" dataDxfId="7868"/>
  </tableColumns>
  <tableStyleInfo name="TableStyleLight9" showFirstColumn="0" showLastColumn="0" showRowStripes="1" showColumnStripes="0"/>
</table>
</file>

<file path=xl/tables/table380.xml><?xml version="1.0" encoding="utf-8"?>
<table xmlns="http://schemas.openxmlformats.org/spreadsheetml/2006/main" id="367" name="Tabela718368" displayName="Tabela718368" ref="B52:G66" headerRowCount="0" totalsRowShown="0" headerRowDxfId="1275" dataDxfId="1274">
  <tableColumns count="6">
    <tableColumn id="1" name="Kolumna1" dataDxfId="1273">
      <calculatedColumnFormula>'Wzorzec kategorii'!B15</calculatedColumnFormula>
    </tableColumn>
    <tableColumn id="2" name="Kolumna2" dataDxfId="1272"/>
    <tableColumn id="3" name="Kolumna3" dataDxfId="1271">
      <calculatedColumnFormula>SUM(Tabela33064410[#This Row])</calculatedColumnFormula>
    </tableColumn>
    <tableColumn id="4" name="Kolumna4" dataDxfId="1270">
      <calculatedColumnFormula>Tabela718368[[#This Row],[Kolumna3]]-Tabela718368[[#This Row],[Kolumna2]]</calculatedColumnFormula>
    </tableColumn>
    <tableColumn id="5" name="Kolumna5" dataDxfId="1269" dataCellStyle="Procentowy">
      <calculatedColumnFormula>IFERROR(D52/C52,"")</calculatedColumnFormula>
    </tableColumn>
    <tableColumn id="6" name="Kolumna6" dataDxfId="1268"/>
  </tableColumns>
  <tableStyleInfo name="TableStyleLight9" showFirstColumn="0" showLastColumn="0" showRowStripes="1" showColumnStripes="0"/>
</table>
</file>

<file path=xl/tables/table381.xml><?xml version="1.0" encoding="utf-8"?>
<table xmlns="http://schemas.openxmlformats.org/spreadsheetml/2006/main" id="368" name="Tabela330369" displayName="Tabela330369" ref="I73:AM83" totalsRowShown="0" headerRowDxfId="1267">
  <autoFilter ref="I73:AM8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266"/>
    <tableColumn id="2" name="2" dataDxfId="1265"/>
    <tableColumn id="3" name="3" dataDxfId="1264"/>
    <tableColumn id="4" name="4" dataDxfId="1263"/>
    <tableColumn id="5" name="5" dataDxfId="1262"/>
    <tableColumn id="6" name="6" dataDxfId="1261"/>
    <tableColumn id="7" name="7" dataDxfId="1260"/>
    <tableColumn id="8" name="8" dataDxfId="1259"/>
    <tableColumn id="9" name="9" dataDxfId="1258"/>
    <tableColumn id="10" name="10" dataDxfId="1257"/>
    <tableColumn id="11" name="11" dataDxfId="1256"/>
    <tableColumn id="12" name="12" dataDxfId="1255"/>
    <tableColumn id="13" name="13" dataDxfId="1254"/>
    <tableColumn id="14" name="14" dataDxfId="1253"/>
    <tableColumn id="15" name="15" dataDxfId="1252"/>
    <tableColumn id="16" name="16" dataDxfId="1251"/>
    <tableColumn id="17" name="17" dataDxfId="1250"/>
    <tableColumn id="18" name="18" dataDxfId="1249"/>
    <tableColumn id="19" name="19" dataDxfId="1248"/>
    <tableColumn id="20" name="20" dataDxfId="1247"/>
    <tableColumn id="21" name="21" dataDxfId="1246"/>
    <tableColumn id="22" name="22" dataDxfId="1245"/>
    <tableColumn id="23" name="23" dataDxfId="1244"/>
    <tableColumn id="24" name="24" dataDxfId="1243"/>
    <tableColumn id="25" name="25" dataDxfId="1242"/>
    <tableColumn id="26" name="26" dataDxfId="1241"/>
    <tableColumn id="27" name="27" dataDxfId="1240"/>
    <tableColumn id="28" name="28" dataDxfId="1239"/>
    <tableColumn id="29" name="29" dataDxfId="1238"/>
    <tableColumn id="30" name="30" dataDxfId="1237"/>
    <tableColumn id="31" name="31" dataDxfId="1236"/>
  </tableColumns>
  <tableStyleInfo name="TableStyleMedium9" showFirstColumn="0" showLastColumn="0" showRowStripes="1" showColumnStripes="0"/>
</table>
</file>

<file path=xl/tables/table382.xml><?xml version="1.0" encoding="utf-8"?>
<table xmlns="http://schemas.openxmlformats.org/spreadsheetml/2006/main" id="369" name="Tabela431370" displayName="Tabela431370" ref="B86:G95" headerRowCount="0" totalsRowShown="0" headerRowDxfId="1235">
  <tableColumns count="6">
    <tableColumn id="1" name="Kolumna1" dataDxfId="1234">
      <calculatedColumnFormula>'Wzorzec kategorii'!B48</calculatedColumnFormula>
    </tableColumn>
    <tableColumn id="2" name="Kolumna2" headerRowDxfId="1233" dataDxfId="1232"/>
    <tableColumn id="3" name="Kolumna3" headerRowDxfId="1231" dataDxfId="1230">
      <calculatedColumnFormula>SUM(Tabela1841393[#This Row])</calculatedColumnFormula>
    </tableColumn>
    <tableColumn id="4" name="Kolumna4" headerRowDxfId="1229" dataDxfId="1228">
      <calculatedColumnFormula>C86-D86</calculatedColumnFormula>
    </tableColumn>
    <tableColumn id="5" name="Kolumna5" headerRowDxfId="1227" dataDxfId="1226">
      <calculatedColumnFormula>IFERROR(D86/C86,"")</calculatedColumnFormula>
    </tableColumn>
    <tableColumn id="6" name="Kolumna6" headerRowDxfId="1225" dataDxfId="1224"/>
  </tableColumns>
  <tableStyleInfo name="TableStyleLight9" showFirstColumn="0" showLastColumn="0" showRowStripes="1" showColumnStripes="0"/>
</table>
</file>

<file path=xl/tables/table383.xml><?xml version="1.0" encoding="utf-8"?>
<table xmlns="http://schemas.openxmlformats.org/spreadsheetml/2006/main" id="370" name="Tabela832371" displayName="Tabela832371" ref="B110:G119" headerRowCount="0" totalsRowShown="0">
  <tableColumns count="6">
    <tableColumn id="1" name="Kolumna1" headerRowDxfId="1223" dataDxfId="1222">
      <calculatedColumnFormula>'Wzorzec kategorii'!B72</calculatedColumnFormula>
    </tableColumn>
    <tableColumn id="2" name="Kolumna2" dataDxfId="1221"/>
    <tableColumn id="3" name="Kolumna3" dataDxfId="1220">
      <calculatedColumnFormula>SUM(Tabela192143395[#This Row])</calculatedColumnFormula>
    </tableColumn>
    <tableColumn id="4" name="Kolumna4" dataDxfId="1219">
      <calculatedColumnFormula>C110-D110</calculatedColumnFormula>
    </tableColumn>
    <tableColumn id="5" name="Kolumna5" dataDxfId="1218">
      <calculatedColumnFormula>IFERROR(D110/C110,"")</calculatedColumnFormula>
    </tableColumn>
    <tableColumn id="6" name="Kolumna6" dataDxfId="1217"/>
  </tableColumns>
  <tableStyleInfo name="TableStyleLight9" showFirstColumn="0" showLastColumn="0" showRowStripes="1" showColumnStripes="0"/>
</table>
</file>

<file path=xl/tables/table384.xml><?xml version="1.0" encoding="utf-8"?>
<table xmlns="http://schemas.openxmlformats.org/spreadsheetml/2006/main" id="371" name="Tabela933372" displayName="Tabela933372" ref="B122:G131" headerRowCount="0" totalsRowShown="0">
  <tableColumns count="6">
    <tableColumn id="1" name="Kolumna1" headerRowDxfId="1216" dataDxfId="1215">
      <calculatedColumnFormula>'Wzorzec kategorii'!B84</calculatedColumnFormula>
    </tableColumn>
    <tableColumn id="2" name="Kolumna2" dataDxfId="1214"/>
    <tableColumn id="3" name="Kolumna3" dataDxfId="1213">
      <calculatedColumnFormula>SUM(Tabela19212547399[#This Row])</calculatedColumnFormula>
    </tableColumn>
    <tableColumn id="4" name="Kolumna4" dataDxfId="1212">
      <calculatedColumnFormula>C122-D122</calculatedColumnFormula>
    </tableColumn>
    <tableColumn id="5" name="Kolumna5" dataDxfId="1211">
      <calculatedColumnFormula>IFERROR(D122/C122,"")</calculatedColumnFormula>
    </tableColumn>
    <tableColumn id="6" name="Kolumna6" dataDxfId="1210"/>
  </tableColumns>
  <tableStyleInfo name="TableStyleLight9" showFirstColumn="0" showLastColumn="0" showRowStripes="1" showColumnStripes="0"/>
</table>
</file>

<file path=xl/tables/table385.xml><?xml version="1.0" encoding="utf-8"?>
<table xmlns="http://schemas.openxmlformats.org/spreadsheetml/2006/main" id="372" name="Tabela1034373" displayName="Tabela1034373" ref="B134:G143" headerRowCount="0" totalsRowShown="0">
  <tableColumns count="6">
    <tableColumn id="1" name="Kolumna1" headerRowDxfId="1209" dataDxfId="1208">
      <calculatedColumnFormula>'Wzorzec kategorii'!B96</calculatedColumnFormula>
    </tableColumn>
    <tableColumn id="2" name="Kolumna2" dataDxfId="1207"/>
    <tableColumn id="3" name="Kolumna3" dataDxfId="1206">
      <calculatedColumnFormula>SUM(Tabela19212446398[#This Row])</calculatedColumnFormula>
    </tableColumn>
    <tableColumn id="4" name="Kolumna4" dataDxfId="1205">
      <calculatedColumnFormula>C134-D134</calculatedColumnFormula>
    </tableColumn>
    <tableColumn id="5" name="Kolumna5" dataDxfId="1204">
      <calculatedColumnFormula>IFERROR(D134/C134,"")</calculatedColumnFormula>
    </tableColumn>
    <tableColumn id="6" name="Kolumna6" dataDxfId="1203"/>
  </tableColumns>
  <tableStyleInfo name="TableStyleLight9" showFirstColumn="0" showLastColumn="0" showRowStripes="1" showColumnStripes="0"/>
</table>
</file>

<file path=xl/tables/table386.xml><?xml version="1.0" encoding="utf-8"?>
<table xmlns="http://schemas.openxmlformats.org/spreadsheetml/2006/main" id="373" name="Tabela1135374" displayName="Tabela1135374" ref="B146:G155" headerRowCount="0" totalsRowShown="0">
  <tableColumns count="6">
    <tableColumn id="1" name="Kolumna1" dataDxfId="1202">
      <calculatedColumnFormula>'Wzorzec kategorii'!B108</calculatedColumnFormula>
    </tableColumn>
    <tableColumn id="2" name="Kolumna2" dataDxfId="1201"/>
    <tableColumn id="3" name="Kolumna3" dataDxfId="1200">
      <calculatedColumnFormula>SUM(Tabela192244396[#This Row])</calculatedColumnFormula>
    </tableColumn>
    <tableColumn id="4" name="Kolumna4" dataDxfId="1199">
      <calculatedColumnFormula>C146-D146</calculatedColumnFormula>
    </tableColumn>
    <tableColumn id="5" name="Kolumna5" dataDxfId="1198">
      <calculatedColumnFormula>IFERROR(D146/C146,"")</calculatedColumnFormula>
    </tableColumn>
    <tableColumn id="6" name="Kolumna6" dataDxfId="1197"/>
  </tableColumns>
  <tableStyleInfo name="TableStyleLight9" showFirstColumn="0" showLastColumn="0" showRowStripes="1" showColumnStripes="0"/>
</table>
</file>

<file path=xl/tables/table387.xml><?xml version="1.0" encoding="utf-8"?>
<table xmlns="http://schemas.openxmlformats.org/spreadsheetml/2006/main" id="374" name="Tabela1236375" displayName="Tabela1236375" ref="B158:G167" headerRowCount="0" totalsRowShown="0">
  <tableColumns count="6">
    <tableColumn id="1" name="Kolumna1" dataDxfId="1196">
      <calculatedColumnFormula>'Wzorzec kategorii'!B120</calculatedColumnFormula>
    </tableColumn>
    <tableColumn id="2" name="Kolumna2" dataDxfId="1195"/>
    <tableColumn id="3" name="Kolumna3" dataDxfId="1194">
      <calculatedColumnFormula>SUM(Tabela2548400[#This Row])</calculatedColumnFormula>
    </tableColumn>
    <tableColumn id="4" name="Kolumna4" dataDxfId="1193">
      <calculatedColumnFormula>C158-D158</calculatedColumnFormula>
    </tableColumn>
    <tableColumn id="5" name="Kolumna5" dataDxfId="1192">
      <calculatedColumnFormula>IFERROR(D158/C158,"")</calculatedColumnFormula>
    </tableColumn>
    <tableColumn id="6" name="Kolumna6"/>
  </tableColumns>
  <tableStyleInfo name="TableStyleLight9" showFirstColumn="0" showLastColumn="0" showRowStripes="1" showColumnStripes="0"/>
</table>
</file>

<file path=xl/tables/table388.xml><?xml version="1.0" encoding="utf-8"?>
<table xmlns="http://schemas.openxmlformats.org/spreadsheetml/2006/main" id="375" name="Tabela1337376" displayName="Tabela1337376" ref="B170:G179" headerRowCount="0" totalsRowShown="0">
  <tableColumns count="6">
    <tableColumn id="1" name="Kolumna1" dataDxfId="1191">
      <calculatedColumnFormula>'Wzorzec kategorii'!B132</calculatedColumnFormula>
    </tableColumn>
    <tableColumn id="2" name="Kolumna2" dataDxfId="1190"/>
    <tableColumn id="3" name="Kolumna3" dataDxfId="1189">
      <calculatedColumnFormula>SUM(Tabela2649401[#This Row])</calculatedColumnFormula>
    </tableColumn>
    <tableColumn id="4" name="Kolumna4" dataDxfId="1188">
      <calculatedColumnFormula>C170-D170</calculatedColumnFormula>
    </tableColumn>
    <tableColumn id="5" name="Kolumna5" dataDxfId="1187">
      <calculatedColumnFormula>IFERROR(D170/C170,"")</calculatedColumnFormula>
    </tableColumn>
    <tableColumn id="6" name="Kolumna6" dataDxfId="1186"/>
  </tableColumns>
  <tableStyleInfo name="TableStyleLight9" showFirstColumn="0" showLastColumn="0" showRowStripes="1" showColumnStripes="0"/>
</table>
</file>

<file path=xl/tables/table389.xml><?xml version="1.0" encoding="utf-8"?>
<table xmlns="http://schemas.openxmlformats.org/spreadsheetml/2006/main" id="379" name="Tabela1438380" displayName="Tabela1438380" ref="B182:G191" headerRowCount="0" totalsRowShown="0">
  <tableColumns count="6">
    <tableColumn id="1" name="Kolumna1" dataDxfId="1185">
      <calculatedColumnFormula>'Wzorzec kategorii'!B144</calculatedColumnFormula>
    </tableColumn>
    <tableColumn id="2" name="Kolumna2" dataDxfId="1184"/>
    <tableColumn id="3" name="Kolumna3" dataDxfId="1183">
      <calculatedColumnFormula>SUM(Tabela2750402[#This Row])</calculatedColumnFormula>
    </tableColumn>
    <tableColumn id="4" name="Kolumna4" dataDxfId="1182">
      <calculatedColumnFormula>C182-D182</calculatedColumnFormula>
    </tableColumn>
    <tableColumn id="5" name="Kolumna5" dataDxfId="1181">
      <calculatedColumnFormula>IFERROR(D182/C182,"")</calculatedColumnFormula>
    </tableColumn>
    <tableColumn id="6" name="Kolumna6" dataDxfId="1180"/>
  </tableColumns>
  <tableStyleInfo name="TableStyleLight9" showFirstColumn="0" showLastColumn="0" showRowStripes="1" showColumnStripes="0"/>
</table>
</file>

<file path=xl/tables/table39.xml><?xml version="1.0" encoding="utf-8"?>
<table xmlns="http://schemas.openxmlformats.org/spreadsheetml/2006/main" id="51" name="Tabela164036552" displayName="Tabela164036552" ref="B180:C189" headerRowCount="0" totalsRowShown="0">
  <tableColumns count="2">
    <tableColumn id="1" name="Kolumna1" dataDxfId="7867"/>
    <tableColumn id="2" name="Kolumna2" dataDxfId="7866"/>
  </tableColumns>
  <tableStyleInfo name="TableStyleLight9" showFirstColumn="0" showLastColumn="0" showRowStripes="1" showColumnStripes="0"/>
</table>
</file>

<file path=xl/tables/table390.xml><?xml version="1.0" encoding="utf-8"?>
<table xmlns="http://schemas.openxmlformats.org/spreadsheetml/2006/main" id="390" name="Tabela1539391" displayName="Tabela1539391" ref="B194:G203" headerRowCount="0" totalsRowShown="0">
  <tableColumns count="6">
    <tableColumn id="1" name="Kolumna1" dataDxfId="1179">
      <calculatedColumnFormula>'Wzorzec kategorii'!B156</calculatedColumnFormula>
    </tableColumn>
    <tableColumn id="2" name="Kolumna2" dataDxfId="1178"/>
    <tableColumn id="3" name="Kolumna3" dataDxfId="1177">
      <calculatedColumnFormula>SUM(Tabela2851403[#This Row])</calculatedColumnFormula>
    </tableColumn>
    <tableColumn id="4" name="Kolumna4" dataDxfId="1176">
      <calculatedColumnFormula>C194-D194</calculatedColumnFormula>
    </tableColumn>
    <tableColumn id="5" name="Kolumna5" dataDxfId="1175">
      <calculatedColumnFormula>IFERROR(D194/C194,"")</calculatedColumnFormula>
    </tableColumn>
    <tableColumn id="6" name="Kolumna6" dataDxfId="1174"/>
  </tableColumns>
  <tableStyleInfo name="TableStyleLight9" showFirstColumn="0" showLastColumn="0" showRowStripes="1" showColumnStripes="0"/>
</table>
</file>

<file path=xl/tables/table391.xml><?xml version="1.0" encoding="utf-8"?>
<table xmlns="http://schemas.openxmlformats.org/spreadsheetml/2006/main" id="391" name="Tabela1640392" displayName="Tabela1640392" ref="B206:G215" headerRowCount="0" totalsRowShown="0">
  <tableColumns count="6">
    <tableColumn id="1" name="Kolumna1" dataDxfId="1173">
      <calculatedColumnFormula>'Wzorzec kategorii'!B168</calculatedColumnFormula>
    </tableColumn>
    <tableColumn id="2" name="Kolumna2" dataDxfId="1172"/>
    <tableColumn id="3" name="Kolumna3" dataDxfId="1171">
      <calculatedColumnFormula>SUM(Tabela192345397[#This Row])</calculatedColumnFormula>
    </tableColumn>
    <tableColumn id="4" name="Kolumna4" dataDxfId="1170">
      <calculatedColumnFormula>C206-D206</calculatedColumnFormula>
    </tableColumn>
    <tableColumn id="5" name="Kolumna5" dataDxfId="1169">
      <calculatedColumnFormula>IFERROR(D206/C206,"")</calculatedColumnFormula>
    </tableColumn>
    <tableColumn id="6" name="Kolumna6" dataDxfId="1168"/>
  </tableColumns>
  <tableStyleInfo name="TableStyleLight9" showFirstColumn="0" showLastColumn="0" showRowStripes="1" showColumnStripes="0"/>
</table>
</file>

<file path=xl/tables/table392.xml><?xml version="1.0" encoding="utf-8"?>
<table xmlns="http://schemas.openxmlformats.org/spreadsheetml/2006/main" id="392" name="Tabela1841393" displayName="Tabela1841393" ref="I85:AM95" totalsRowShown="0" headerRowDxfId="1167" dataDxfId="1165" headerRowBorderDxfId="1166">
  <autoFilter ref="I85:AM9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164"/>
    <tableColumn id="2" name="2" dataDxfId="1163"/>
    <tableColumn id="3" name="3" dataDxfId="1162"/>
    <tableColumn id="4" name="4" dataDxfId="1161"/>
    <tableColumn id="5" name="5" dataDxfId="1160"/>
    <tableColumn id="6" name="6" dataDxfId="1159"/>
    <tableColumn id="7" name="7" dataDxfId="1158"/>
    <tableColumn id="8" name="8" dataDxfId="1157"/>
    <tableColumn id="9" name="9" dataDxfId="1156"/>
    <tableColumn id="10" name="10" dataDxfId="1155"/>
    <tableColumn id="11" name="11" dataDxfId="1154"/>
    <tableColumn id="12" name="12" dataDxfId="1153"/>
    <tableColumn id="13" name="13" dataDxfId="1152"/>
    <tableColumn id="14" name="14" dataDxfId="1151"/>
    <tableColumn id="15" name="15" dataDxfId="1150"/>
    <tableColumn id="16" name="16" dataDxfId="1149"/>
    <tableColumn id="17" name="17" dataDxfId="1148"/>
    <tableColumn id="18" name="18" dataDxfId="1147"/>
    <tableColumn id="19" name="19" dataDxfId="1146"/>
    <tableColumn id="20" name="20" dataDxfId="1145"/>
    <tableColumn id="21" name="21" dataDxfId="1144"/>
    <tableColumn id="22" name="22" dataDxfId="1143"/>
    <tableColumn id="23" name="23" dataDxfId="1142"/>
    <tableColumn id="24" name="24" dataDxfId="1141"/>
    <tableColumn id="25" name="25" dataDxfId="1140"/>
    <tableColumn id="26" name="26" dataDxfId="1139"/>
    <tableColumn id="27" name="27" dataDxfId="1138"/>
    <tableColumn id="28" name="28" dataDxfId="1137"/>
    <tableColumn id="29" name="29" dataDxfId="1136"/>
    <tableColumn id="30" name="30" dataDxfId="1135"/>
    <tableColumn id="31" name="31" dataDxfId="1134"/>
  </tableColumns>
  <tableStyleInfo name="TableStyleMedium9" showFirstColumn="0" showLastColumn="0" showRowStripes="1" showColumnStripes="0"/>
</table>
</file>

<file path=xl/tables/table393.xml><?xml version="1.0" encoding="utf-8"?>
<table xmlns="http://schemas.openxmlformats.org/spreadsheetml/2006/main" id="393" name="Tabela1942394" displayName="Tabela1942394" ref="I97:AM107" totalsRowShown="0" headerRowDxfId="1133" dataDxfId="1131" headerRowBorderDxfId="1132">
  <autoFilter ref="I97:AM10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130"/>
    <tableColumn id="2" name="2" dataDxfId="1129"/>
    <tableColumn id="3" name="3" dataDxfId="1128"/>
    <tableColumn id="4" name="4" dataDxfId="1127"/>
    <tableColumn id="5" name="5" dataDxfId="1126"/>
    <tableColumn id="6" name="6" dataDxfId="1125"/>
    <tableColumn id="7" name="7" dataDxfId="1124"/>
    <tableColumn id="8" name="8" dataDxfId="1123"/>
    <tableColumn id="9" name="9" dataDxfId="1122"/>
    <tableColumn id="10" name="10" dataDxfId="1121"/>
    <tableColumn id="11" name="11" dataDxfId="1120"/>
    <tableColumn id="12" name="12" dataDxfId="1119"/>
    <tableColumn id="13" name="13" dataDxfId="1118"/>
    <tableColumn id="14" name="14" dataDxfId="1117"/>
    <tableColumn id="15" name="15" dataDxfId="1116"/>
    <tableColumn id="16" name="16" dataDxfId="1115"/>
    <tableColumn id="17" name="17" dataDxfId="1114"/>
    <tableColumn id="18" name="18" dataDxfId="1113"/>
    <tableColumn id="19" name="19" dataDxfId="1112"/>
    <tableColumn id="20" name="20" dataDxfId="1111"/>
    <tableColumn id="21" name="21" dataDxfId="1110"/>
    <tableColumn id="22" name="22" dataDxfId="1109"/>
    <tableColumn id="23" name="23" dataDxfId="1108"/>
    <tableColumn id="24" name="24" dataDxfId="1107"/>
    <tableColumn id="25" name="25" dataDxfId="1106"/>
    <tableColumn id="26" name="26" dataDxfId="1105"/>
    <tableColumn id="27" name="27" dataDxfId="1104"/>
    <tableColumn id="28" name="28" dataDxfId="1103"/>
    <tableColumn id="29" name="29" dataDxfId="1102"/>
    <tableColumn id="30" name="30" dataDxfId="1101"/>
    <tableColumn id="31" name="31" dataDxfId="1100"/>
  </tableColumns>
  <tableStyleInfo name="TableStyleMedium9" showFirstColumn="0" showLastColumn="0" showRowStripes="1" showColumnStripes="0"/>
</table>
</file>

<file path=xl/tables/table394.xml><?xml version="1.0" encoding="utf-8"?>
<table xmlns="http://schemas.openxmlformats.org/spreadsheetml/2006/main" id="394" name="Tabela192143395" displayName="Tabela192143395" ref="I109:AM119" totalsRowShown="0" headerRowDxfId="1099" dataDxfId="1097" headerRowBorderDxfId="1098">
  <autoFilter ref="I109:AM1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096"/>
    <tableColumn id="2" name="2" dataDxfId="1095"/>
    <tableColumn id="3" name="3" dataDxfId="1094"/>
    <tableColumn id="4" name="4" dataDxfId="1093"/>
    <tableColumn id="5" name="5" dataDxfId="1092"/>
    <tableColumn id="6" name="6" dataDxfId="1091"/>
    <tableColumn id="7" name="7" dataDxfId="1090"/>
    <tableColumn id="8" name="8" dataDxfId="1089"/>
    <tableColumn id="9" name="9" dataDxfId="1088"/>
    <tableColumn id="10" name="10" dataDxfId="1087"/>
    <tableColumn id="11" name="11" dataDxfId="1086"/>
    <tableColumn id="12" name="12" dataDxfId="1085"/>
    <tableColumn id="13" name="13" dataDxfId="1084"/>
    <tableColumn id="14" name="14" dataDxfId="1083"/>
    <tableColumn id="15" name="15" dataDxfId="1082"/>
    <tableColumn id="16" name="16" dataDxfId="1081"/>
    <tableColumn id="17" name="17" dataDxfId="1080"/>
    <tableColumn id="18" name="18" dataDxfId="1079"/>
    <tableColumn id="19" name="19" dataDxfId="1078"/>
    <tableColumn id="20" name="20" dataDxfId="1077"/>
    <tableColumn id="21" name="21" dataDxfId="1076"/>
    <tableColumn id="22" name="22" dataDxfId="1075"/>
    <tableColumn id="23" name="23" dataDxfId="1074"/>
    <tableColumn id="24" name="24" dataDxfId="1073"/>
    <tableColumn id="25" name="25" dataDxfId="1072"/>
    <tableColumn id="26" name="26" dataDxfId="1071"/>
    <tableColumn id="27" name="27" dataDxfId="1070"/>
    <tableColumn id="28" name="28" dataDxfId="1069"/>
    <tableColumn id="29" name="29" dataDxfId="1068"/>
    <tableColumn id="30" name="30" dataDxfId="1067"/>
    <tableColumn id="31" name="31" dataDxfId="1066"/>
  </tableColumns>
  <tableStyleInfo name="TableStyleMedium9" showFirstColumn="0" showLastColumn="0" showRowStripes="1" showColumnStripes="0"/>
</table>
</file>

<file path=xl/tables/table395.xml><?xml version="1.0" encoding="utf-8"?>
<table xmlns="http://schemas.openxmlformats.org/spreadsheetml/2006/main" id="395" name="Tabela192244396" displayName="Tabela192244396" ref="I145:AM155" totalsRowShown="0" headerRowDxfId="1065" dataDxfId="1063" headerRowBorderDxfId="1064">
  <autoFilter ref="I145:AM1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062"/>
    <tableColumn id="2" name="2" dataDxfId="1061"/>
    <tableColumn id="3" name="3" dataDxfId="1060"/>
    <tableColumn id="4" name="4" dataDxfId="1059"/>
    <tableColumn id="5" name="5" dataDxfId="1058"/>
    <tableColumn id="6" name="6" dataDxfId="1057"/>
    <tableColumn id="7" name="7" dataDxfId="1056"/>
    <tableColumn id="8" name="8" dataDxfId="1055"/>
    <tableColumn id="9" name="9" dataDxfId="1054"/>
    <tableColumn id="10" name="10" dataDxfId="1053"/>
    <tableColumn id="11" name="11" dataDxfId="1052"/>
    <tableColumn id="12" name="12" dataDxfId="1051"/>
    <tableColumn id="13" name="13" dataDxfId="1050"/>
    <tableColumn id="14" name="14" dataDxfId="1049"/>
    <tableColumn id="15" name="15" dataDxfId="1048"/>
    <tableColumn id="16" name="16" dataDxfId="1047"/>
    <tableColumn id="17" name="17" dataDxfId="1046"/>
    <tableColumn id="18" name="18" dataDxfId="1045"/>
    <tableColumn id="19" name="19" dataDxfId="1044"/>
    <tableColumn id="20" name="20" dataDxfId="1043"/>
    <tableColumn id="21" name="21" dataDxfId="1042"/>
    <tableColumn id="22" name="22" dataDxfId="1041"/>
    <tableColumn id="23" name="23" dataDxfId="1040"/>
    <tableColumn id="24" name="24" dataDxfId="1039"/>
    <tableColumn id="25" name="25" dataDxfId="1038"/>
    <tableColumn id="26" name="26" dataDxfId="1037"/>
    <tableColumn id="27" name="27" dataDxfId="1036"/>
    <tableColumn id="28" name="28" dataDxfId="1035"/>
    <tableColumn id="29" name="29" dataDxfId="1034"/>
    <tableColumn id="30" name="30" dataDxfId="1033"/>
    <tableColumn id="31" name="31" dataDxfId="1032"/>
  </tableColumns>
  <tableStyleInfo name="TableStyleMedium9" showFirstColumn="0" showLastColumn="0" showRowStripes="1" showColumnStripes="0"/>
</table>
</file>

<file path=xl/tables/table396.xml><?xml version="1.0" encoding="utf-8"?>
<table xmlns="http://schemas.openxmlformats.org/spreadsheetml/2006/main" id="396" name="Tabela192345397" displayName="Tabela192345397" ref="I205:AM215" totalsRowShown="0" headerRowDxfId="1031" dataDxfId="1029" headerRowBorderDxfId="1030">
  <autoFilter ref="I205:AM2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028"/>
    <tableColumn id="2" name="2" dataDxfId="1027"/>
    <tableColumn id="3" name="3" dataDxfId="1026"/>
    <tableColumn id="4" name="4" dataDxfId="1025"/>
    <tableColumn id="5" name="5" dataDxfId="1024"/>
    <tableColumn id="6" name="6" dataDxfId="1023"/>
    <tableColumn id="7" name="7" dataDxfId="1022"/>
    <tableColumn id="8" name="8" dataDxfId="1021"/>
    <tableColumn id="9" name="9" dataDxfId="1020"/>
    <tableColumn id="10" name="10" dataDxfId="1019"/>
    <tableColumn id="11" name="11" dataDxfId="1018"/>
    <tableColumn id="12" name="12" dataDxfId="1017"/>
    <tableColumn id="13" name="13" dataDxfId="1016"/>
    <tableColumn id="14" name="14" dataDxfId="1015"/>
    <tableColumn id="15" name="15" dataDxfId="1014"/>
    <tableColumn id="16" name="16" dataDxfId="1013"/>
    <tableColumn id="17" name="17" dataDxfId="1012"/>
    <tableColumn id="18" name="18" dataDxfId="1011"/>
    <tableColumn id="19" name="19" dataDxfId="1010"/>
    <tableColumn id="20" name="20" dataDxfId="1009"/>
    <tableColumn id="21" name="21" dataDxfId="1008"/>
    <tableColumn id="22" name="22" dataDxfId="1007"/>
    <tableColumn id="23" name="23" dataDxfId="1006"/>
    <tableColumn id="24" name="24" dataDxfId="1005"/>
    <tableColumn id="25" name="25" dataDxfId="1004"/>
    <tableColumn id="26" name="26" dataDxfId="1003"/>
    <tableColumn id="27" name="27" dataDxfId="1002"/>
    <tableColumn id="28" name="28" dataDxfId="1001"/>
    <tableColumn id="29" name="29" dataDxfId="1000"/>
    <tableColumn id="30" name="30" dataDxfId="999"/>
    <tableColumn id="31" name="31" dataDxfId="998"/>
  </tableColumns>
  <tableStyleInfo name="TableStyleMedium9" showFirstColumn="0" showLastColumn="0" showRowStripes="1" showColumnStripes="0"/>
</table>
</file>

<file path=xl/tables/table397.xml><?xml version="1.0" encoding="utf-8"?>
<table xmlns="http://schemas.openxmlformats.org/spreadsheetml/2006/main" id="397" name="Tabela19212446398" displayName="Tabela19212446398" ref="I133:AM143" totalsRowShown="0" headerRowDxfId="997" dataDxfId="995" headerRowBorderDxfId="996">
  <autoFilter ref="I133:AM1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994"/>
    <tableColumn id="2" name="2" dataDxfId="993"/>
    <tableColumn id="3" name="3" dataDxfId="992"/>
    <tableColumn id="4" name="4" dataDxfId="991"/>
    <tableColumn id="5" name="5" dataDxfId="990"/>
    <tableColumn id="6" name="6" dataDxfId="989"/>
    <tableColumn id="7" name="7" dataDxfId="988"/>
    <tableColumn id="8" name="8" dataDxfId="987"/>
    <tableColumn id="9" name="9" dataDxfId="986"/>
    <tableColumn id="10" name="10" dataDxfId="985"/>
    <tableColumn id="11" name="11" dataDxfId="984"/>
    <tableColumn id="12" name="12" dataDxfId="983"/>
    <tableColumn id="13" name="13" dataDxfId="982"/>
    <tableColumn id="14" name="14" dataDxfId="981"/>
    <tableColumn id="15" name="15" dataDxfId="980"/>
    <tableColumn id="16" name="16" dataDxfId="979"/>
    <tableColumn id="17" name="17" dataDxfId="978"/>
    <tableColumn id="18" name="18" dataDxfId="977"/>
    <tableColumn id="19" name="19" dataDxfId="976"/>
    <tableColumn id="20" name="20" dataDxfId="975"/>
    <tableColumn id="21" name="21" dataDxfId="974"/>
    <tableColumn id="22" name="22" dataDxfId="973"/>
    <tableColumn id="23" name="23" dataDxfId="972"/>
    <tableColumn id="24" name="24" dataDxfId="971"/>
    <tableColumn id="25" name="25" dataDxfId="970"/>
    <tableColumn id="26" name="26" dataDxfId="969"/>
    <tableColumn id="27" name="27" dataDxfId="968"/>
    <tableColumn id="28" name="28" dataDxfId="967"/>
    <tableColumn id="29" name="29" dataDxfId="966"/>
    <tableColumn id="30" name="30" dataDxfId="965"/>
    <tableColumn id="31" name="31" dataDxfId="964"/>
  </tableColumns>
  <tableStyleInfo name="TableStyleMedium9" showFirstColumn="0" showLastColumn="0" showRowStripes="1" showColumnStripes="0"/>
</table>
</file>

<file path=xl/tables/table398.xml><?xml version="1.0" encoding="utf-8"?>
<table xmlns="http://schemas.openxmlformats.org/spreadsheetml/2006/main" id="398" name="Tabela19212547399" displayName="Tabela19212547399" ref="I121:AM131" totalsRowShown="0" headerRowDxfId="963" dataDxfId="961" headerRowBorderDxfId="962">
  <autoFilter ref="I121:AM1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960"/>
    <tableColumn id="2" name="2" dataDxfId="959"/>
    <tableColumn id="3" name="3" dataDxfId="958"/>
    <tableColumn id="4" name="4" dataDxfId="957"/>
    <tableColumn id="5" name="5" dataDxfId="956"/>
    <tableColumn id="6" name="6" dataDxfId="955"/>
    <tableColumn id="7" name="7" dataDxfId="954"/>
    <tableColumn id="8" name="8" dataDxfId="953"/>
    <tableColumn id="9" name="9" dataDxfId="952"/>
    <tableColumn id="10" name="10" dataDxfId="951"/>
    <tableColumn id="11" name="11" dataDxfId="950"/>
    <tableColumn id="12" name="12" dataDxfId="949"/>
    <tableColumn id="13" name="13" dataDxfId="948"/>
    <tableColumn id="14" name="14" dataDxfId="947"/>
    <tableColumn id="15" name="15" dataDxfId="946"/>
    <tableColumn id="16" name="16" dataDxfId="945"/>
    <tableColumn id="17" name="17" dataDxfId="944"/>
    <tableColumn id="18" name="18" dataDxfId="943"/>
    <tableColumn id="19" name="19" dataDxfId="942"/>
    <tableColumn id="20" name="20" dataDxfId="941"/>
    <tableColumn id="21" name="21" dataDxfId="940"/>
    <tableColumn id="22" name="22" dataDxfId="939"/>
    <tableColumn id="23" name="23" dataDxfId="938"/>
    <tableColumn id="24" name="24" dataDxfId="937"/>
    <tableColumn id="25" name="25" dataDxfId="936"/>
    <tableColumn id="26" name="26" dataDxfId="935"/>
    <tableColumn id="27" name="27" dataDxfId="934"/>
    <tableColumn id="28" name="28" dataDxfId="933"/>
    <tableColumn id="29" name="29" dataDxfId="932"/>
    <tableColumn id="30" name="30" dataDxfId="931"/>
    <tableColumn id="31" name="31" dataDxfId="930"/>
  </tableColumns>
  <tableStyleInfo name="TableStyleMedium9" showFirstColumn="0" showLastColumn="0" showRowStripes="1" showColumnStripes="0"/>
</table>
</file>

<file path=xl/tables/table399.xml><?xml version="1.0" encoding="utf-8"?>
<table xmlns="http://schemas.openxmlformats.org/spreadsheetml/2006/main" id="399" name="Tabela2548400" displayName="Tabela2548400" ref="I157:AM167" totalsRowShown="0" headerRowDxfId="929" dataDxfId="928">
  <autoFilter ref="I157:AM1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927"/>
    <tableColumn id="2" name="2" dataDxfId="926"/>
    <tableColumn id="3" name="3" dataDxfId="925"/>
    <tableColumn id="4" name="4" dataDxfId="924"/>
    <tableColumn id="5" name="5" dataDxfId="923"/>
    <tableColumn id="6" name="6" dataDxfId="922"/>
    <tableColumn id="7" name="7" dataDxfId="921"/>
    <tableColumn id="8" name="8" dataDxfId="920"/>
    <tableColumn id="9" name="9" dataDxfId="919"/>
    <tableColumn id="10" name="10" dataDxfId="918"/>
    <tableColumn id="11" name="11" dataDxfId="917"/>
    <tableColumn id="12" name="12" dataDxfId="916"/>
    <tableColumn id="13" name="13" dataDxfId="915"/>
    <tableColumn id="14" name="14" dataDxfId="914"/>
    <tableColumn id="15" name="15" dataDxfId="913"/>
    <tableColumn id="16" name="16" dataDxfId="912"/>
    <tableColumn id="17" name="17" dataDxfId="911"/>
    <tableColumn id="18" name="18" dataDxfId="910"/>
    <tableColumn id="19" name="19" dataDxfId="909"/>
    <tableColumn id="20" name="20" dataDxfId="908"/>
    <tableColumn id="21" name="21" dataDxfId="907"/>
    <tableColumn id="22" name="22" dataDxfId="906"/>
    <tableColumn id="23" name="23" dataDxfId="905"/>
    <tableColumn id="24" name="24" dataDxfId="904"/>
    <tableColumn id="25" name="25" dataDxfId="903"/>
    <tableColumn id="26" name="26" dataDxfId="902"/>
    <tableColumn id="27" name="27" dataDxfId="901"/>
    <tableColumn id="28" name="28" dataDxfId="900"/>
    <tableColumn id="29" name="29" dataDxfId="899"/>
    <tableColumn id="30" name="30" dataDxfId="898"/>
    <tableColumn id="31" name="31" dataDxfId="897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3" name="Tabela3" displayName="Tabela3" ref="I62:AM67" totalsRowShown="0" headerRowDxfId="8374">
  <autoFilter ref="I62:AM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8373"/>
    <tableColumn id="2" name="2" dataDxfId="8372"/>
    <tableColumn id="3" name="3" dataDxfId="8371"/>
    <tableColumn id="4" name="4" dataDxfId="8370"/>
    <tableColumn id="5" name="5" dataDxfId="8369"/>
    <tableColumn id="6" name="6" dataDxfId="8368"/>
    <tableColumn id="7" name="7" dataDxfId="8367"/>
    <tableColumn id="8" name="8" dataDxfId="8366"/>
    <tableColumn id="9" name="9" dataDxfId="8365"/>
    <tableColumn id="10" name="10" dataDxfId="8364"/>
    <tableColumn id="11" name="11" dataDxfId="8363"/>
    <tableColumn id="12" name="12" dataDxfId="8362"/>
    <tableColumn id="13" name="13" dataDxfId="8361"/>
    <tableColumn id="14" name="14" dataDxfId="8360"/>
    <tableColumn id="15" name="15" dataDxfId="8359"/>
    <tableColumn id="16" name="16" dataDxfId="8358"/>
    <tableColumn id="17" name="17" dataDxfId="8357"/>
    <tableColumn id="18" name="18" dataDxfId="8356"/>
    <tableColumn id="19" name="19" dataDxfId="8355"/>
    <tableColumn id="20" name="20" dataDxfId="8354"/>
    <tableColumn id="21" name="21" dataDxfId="8353"/>
    <tableColumn id="22" name="22" dataDxfId="8352"/>
    <tableColumn id="23" name="23" dataDxfId="8351"/>
    <tableColumn id="24" name="24" dataDxfId="8350"/>
    <tableColumn id="25" name="25" dataDxfId="8349"/>
    <tableColumn id="26" name="26" dataDxfId="8348"/>
    <tableColumn id="27" name="27" dataDxfId="8347"/>
    <tableColumn id="28" name="28" dataDxfId="8346"/>
    <tableColumn id="29" name="29" dataDxfId="8345"/>
    <tableColumn id="30" name="30" dataDxfId="8344"/>
    <tableColumn id="31" name="31" dataDxfId="8343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52" name="Tabela164036553" displayName="Tabela164036553" ref="B192:C201" headerRowCount="0" totalsRowShown="0">
  <tableColumns count="2">
    <tableColumn id="1" name="Kolumna1" dataDxfId="7865"/>
    <tableColumn id="2" name="Kolumna2" dataDxfId="7864"/>
  </tableColumns>
  <tableStyleInfo name="TableStyleLight9" showFirstColumn="0" showLastColumn="0" showRowStripes="1" showColumnStripes="0"/>
</table>
</file>

<file path=xl/tables/table400.xml><?xml version="1.0" encoding="utf-8"?>
<table xmlns="http://schemas.openxmlformats.org/spreadsheetml/2006/main" id="400" name="Tabela2649401" displayName="Tabela2649401" ref="I169:AM179" totalsRowShown="0" headerRowDxfId="896" headerRowBorderDxfId="895">
  <autoFilter ref="I169:AM1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894"/>
    <tableColumn id="2" name="2" dataDxfId="893"/>
    <tableColumn id="3" name="3" dataDxfId="892"/>
    <tableColumn id="4" name="4" dataDxfId="891"/>
    <tableColumn id="5" name="5" dataDxfId="890"/>
    <tableColumn id="6" name="6" dataDxfId="889"/>
    <tableColumn id="7" name="7" dataDxfId="888"/>
    <tableColumn id="8" name="8" dataDxfId="887"/>
    <tableColumn id="9" name="9" dataDxfId="886"/>
    <tableColumn id="10" name="10" dataDxfId="885"/>
    <tableColumn id="11" name="11" dataDxfId="884"/>
    <tableColumn id="12" name="12" dataDxfId="883"/>
    <tableColumn id="13" name="13" dataDxfId="882"/>
    <tableColumn id="14" name="14" dataDxfId="881"/>
    <tableColumn id="15" name="15" dataDxfId="880"/>
    <tableColumn id="16" name="16" dataDxfId="879"/>
    <tableColumn id="17" name="17" dataDxfId="878"/>
    <tableColumn id="18" name="18" dataDxfId="877"/>
    <tableColumn id="19" name="19" dataDxfId="876"/>
    <tableColumn id="20" name="20" dataDxfId="875"/>
    <tableColumn id="21" name="21" dataDxfId="874"/>
    <tableColumn id="22" name="22" dataDxfId="873"/>
    <tableColumn id="23" name="23" dataDxfId="872"/>
    <tableColumn id="24" name="24" dataDxfId="871"/>
    <tableColumn id="25" name="25" dataDxfId="870"/>
    <tableColumn id="26" name="26" dataDxfId="869"/>
    <tableColumn id="27" name="27" dataDxfId="868"/>
    <tableColumn id="28" name="28" dataDxfId="867"/>
    <tableColumn id="29" name="29" dataDxfId="866"/>
    <tableColumn id="30" name="30" dataDxfId="865"/>
    <tableColumn id="31" name="31" dataDxfId="864"/>
  </tableColumns>
  <tableStyleInfo name="TableStyleMedium9" showFirstColumn="0" showLastColumn="0" showRowStripes="1" showColumnStripes="0"/>
</table>
</file>

<file path=xl/tables/table401.xml><?xml version="1.0" encoding="utf-8"?>
<table xmlns="http://schemas.openxmlformats.org/spreadsheetml/2006/main" id="401" name="Tabela2750402" displayName="Tabela2750402" ref="I181:AM191" totalsRowShown="0" headerRowDxfId="863">
  <autoFilter ref="I181:AM19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862"/>
    <tableColumn id="2" name="2" dataDxfId="861"/>
    <tableColumn id="3" name="3" dataDxfId="860"/>
    <tableColumn id="4" name="4" dataDxfId="859"/>
    <tableColumn id="5" name="5" dataDxfId="858"/>
    <tableColumn id="6" name="6" dataDxfId="857"/>
    <tableColumn id="7" name="7" dataDxfId="856"/>
    <tableColumn id="8" name="8" dataDxfId="855"/>
    <tableColumn id="9" name="9" dataDxfId="854"/>
    <tableColumn id="10" name="10" dataDxfId="853"/>
    <tableColumn id="11" name="11" dataDxfId="852"/>
    <tableColumn id="12" name="12" dataDxfId="851"/>
    <tableColumn id="13" name="13" dataDxfId="850"/>
    <tableColumn id="14" name="14" dataDxfId="849"/>
    <tableColumn id="15" name="15" dataDxfId="848"/>
    <tableColumn id="16" name="16" dataDxfId="847"/>
    <tableColumn id="17" name="17" dataDxfId="846"/>
    <tableColumn id="18" name="18" dataDxfId="845"/>
    <tableColumn id="19" name="19" dataDxfId="844"/>
    <tableColumn id="20" name="20" dataDxfId="843"/>
    <tableColumn id="21" name="21" dataDxfId="842"/>
    <tableColumn id="22" name="22" dataDxfId="841"/>
    <tableColumn id="23" name="23" dataDxfId="840"/>
    <tableColumn id="24" name="24" dataDxfId="839"/>
    <tableColumn id="25" name="25" dataDxfId="838"/>
    <tableColumn id="26" name="26" dataDxfId="837"/>
    <tableColumn id="27" name="27" dataDxfId="836"/>
    <tableColumn id="28" name="28" dataDxfId="835"/>
    <tableColumn id="29" name="29" dataDxfId="834"/>
    <tableColumn id="30" name="30" dataDxfId="833"/>
    <tableColumn id="31" name="31" dataDxfId="832"/>
  </tableColumns>
  <tableStyleInfo name="TableStyleMedium9" showFirstColumn="0" showLastColumn="0" showRowStripes="1" showColumnStripes="0"/>
</table>
</file>

<file path=xl/tables/table402.xml><?xml version="1.0" encoding="utf-8"?>
<table xmlns="http://schemas.openxmlformats.org/spreadsheetml/2006/main" id="402" name="Tabela2851403" displayName="Tabela2851403" ref="I193:AM203" totalsRowShown="0" headerRowDxfId="831" dataDxfId="829" headerRowBorderDxfId="830">
  <autoFilter ref="I193:AM20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828"/>
    <tableColumn id="2" name="2" dataDxfId="827"/>
    <tableColumn id="3" name="3" dataDxfId="826"/>
    <tableColumn id="4" name="4" dataDxfId="825"/>
    <tableColumn id="5" name="5" dataDxfId="824"/>
    <tableColumn id="6" name="6" dataDxfId="823"/>
    <tableColumn id="7" name="7" dataDxfId="822"/>
    <tableColumn id="8" name="8" dataDxfId="821"/>
    <tableColumn id="9" name="9" dataDxfId="820"/>
    <tableColumn id="10" name="10" dataDxfId="819"/>
    <tableColumn id="11" name="11" dataDxfId="818"/>
    <tableColumn id="12" name="12" dataDxfId="817"/>
    <tableColumn id="13" name="13" dataDxfId="816"/>
    <tableColumn id="14" name="14" dataDxfId="815"/>
    <tableColumn id="15" name="15" dataDxfId="814"/>
    <tableColumn id="16" name="16" dataDxfId="813"/>
    <tableColumn id="17" name="17" dataDxfId="812"/>
    <tableColumn id="18" name="18" dataDxfId="811"/>
    <tableColumn id="19" name="19" dataDxfId="810"/>
    <tableColumn id="20" name="20" dataDxfId="809"/>
    <tableColumn id="21" name="21" dataDxfId="808"/>
    <tableColumn id="22" name="22" dataDxfId="807"/>
    <tableColumn id="23" name="23" dataDxfId="806"/>
    <tableColumn id="24" name="24" dataDxfId="805"/>
    <tableColumn id="25" name="25" dataDxfId="804"/>
    <tableColumn id="26" name="26" dataDxfId="803"/>
    <tableColumn id="27" name="27" dataDxfId="802"/>
    <tableColumn id="28" name="28" dataDxfId="801"/>
    <tableColumn id="29" name="29" dataDxfId="800"/>
    <tableColumn id="30" name="30" dataDxfId="799"/>
    <tableColumn id="31" name="31" dataDxfId="798"/>
  </tableColumns>
  <tableStyleInfo name="TableStyleMedium9" showFirstColumn="0" showLastColumn="0" showRowStripes="1" showColumnStripes="0"/>
</table>
</file>

<file path=xl/tables/table403.xml><?xml version="1.0" encoding="utf-8"?>
<table xmlns="http://schemas.openxmlformats.org/spreadsheetml/2006/main" id="403" name="Tabela164058404" displayName="Tabela164058404" ref="B218:G227" headerRowCount="0" totalsRowShown="0">
  <tableColumns count="6">
    <tableColumn id="1" name="Kolumna1" dataDxfId="797">
      <calculatedColumnFormula>'Wzorzec kategorii'!B180</calculatedColumnFormula>
    </tableColumn>
    <tableColumn id="2" name="Kolumna2" dataDxfId="796"/>
    <tableColumn id="3" name="Kolumna3" dataDxfId="795">
      <calculatedColumnFormula>SUM(Tabela19234559405[#This Row])</calculatedColumnFormula>
    </tableColumn>
    <tableColumn id="4" name="Kolumna4" dataDxfId="794">
      <calculatedColumnFormula>C218-D218</calculatedColumnFormula>
    </tableColumn>
    <tableColumn id="5" name="Kolumna5" dataDxfId="793">
      <calculatedColumnFormula>IFERROR(D218/C218,"")</calculatedColumnFormula>
    </tableColumn>
    <tableColumn id="6" name="Kolumna6" dataDxfId="792"/>
  </tableColumns>
  <tableStyleInfo name="TableStyleLight9" showFirstColumn="0" showLastColumn="0" showRowStripes="1" showColumnStripes="0"/>
</table>
</file>

<file path=xl/tables/table404.xml><?xml version="1.0" encoding="utf-8"?>
<table xmlns="http://schemas.openxmlformats.org/spreadsheetml/2006/main" id="404" name="Tabela19234559405" displayName="Tabela19234559405" ref="I217:AM227" totalsRowShown="0" headerRowDxfId="791" dataDxfId="789" headerRowBorderDxfId="790">
  <autoFilter ref="I217:AM2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88"/>
    <tableColumn id="2" name="2" dataDxfId="787"/>
    <tableColumn id="3" name="3" dataDxfId="786"/>
    <tableColumn id="4" name="4" dataDxfId="785"/>
    <tableColumn id="5" name="5" dataDxfId="784"/>
    <tableColumn id="6" name="6" dataDxfId="783"/>
    <tableColumn id="7" name="7" dataDxfId="782"/>
    <tableColumn id="8" name="8" dataDxfId="781"/>
    <tableColumn id="9" name="9" dataDxfId="780"/>
    <tableColumn id="10" name="10" dataDxfId="779"/>
    <tableColumn id="11" name="11" dataDxfId="778"/>
    <tableColumn id="12" name="12" dataDxfId="777"/>
    <tableColumn id="13" name="13" dataDxfId="776"/>
    <tableColumn id="14" name="14" dataDxfId="775"/>
    <tableColumn id="15" name="15" dataDxfId="774"/>
    <tableColumn id="16" name="16" dataDxfId="773"/>
    <tableColumn id="17" name="17" dataDxfId="772"/>
    <tableColumn id="18" name="18" dataDxfId="771"/>
    <tableColumn id="19" name="19" dataDxfId="770"/>
    <tableColumn id="20" name="20" dataDxfId="769"/>
    <tableColumn id="21" name="21" dataDxfId="768"/>
    <tableColumn id="22" name="22" dataDxfId="767"/>
    <tableColumn id="23" name="23" dataDxfId="766"/>
    <tableColumn id="24" name="24" dataDxfId="765"/>
    <tableColumn id="25" name="25" dataDxfId="764"/>
    <tableColumn id="26" name="26" dataDxfId="763"/>
    <tableColumn id="27" name="27" dataDxfId="762"/>
    <tableColumn id="28" name="28" dataDxfId="761"/>
    <tableColumn id="29" name="29" dataDxfId="760"/>
    <tableColumn id="30" name="30" dataDxfId="759"/>
    <tableColumn id="31" name="31" dataDxfId="758"/>
  </tableColumns>
  <tableStyleInfo name="TableStyleMedium9" showFirstColumn="0" showLastColumn="0" showRowStripes="1" showColumnStripes="0"/>
</table>
</file>

<file path=xl/tables/table405.xml><?xml version="1.0" encoding="utf-8"?>
<table xmlns="http://schemas.openxmlformats.org/spreadsheetml/2006/main" id="405" name="Tabela16405860406" displayName="Tabela16405860406" ref="B230:G239" headerRowCount="0" totalsRowShown="0">
  <tableColumns count="6">
    <tableColumn id="1" name="Kolumna1" dataDxfId="757">
      <calculatedColumnFormula>'Wzorzec kategorii'!B192</calculatedColumnFormula>
    </tableColumn>
    <tableColumn id="2" name="Kolumna2" dataDxfId="756"/>
    <tableColumn id="3" name="Kolumna3" dataDxfId="755">
      <calculatedColumnFormula>SUM(Tabela1923455962408[#This Row])</calculatedColumnFormula>
    </tableColumn>
    <tableColumn id="4" name="Kolumna4" dataDxfId="754">
      <calculatedColumnFormula>C230-D230</calculatedColumnFormula>
    </tableColumn>
    <tableColumn id="5" name="Kolumna5" dataDxfId="753">
      <calculatedColumnFormula>IFERROR(D230/C230,"")</calculatedColumnFormula>
    </tableColumn>
    <tableColumn id="6" name="Kolumna6" dataDxfId="752"/>
  </tableColumns>
  <tableStyleInfo name="TableStyleLight9" showFirstColumn="0" showLastColumn="0" showRowStripes="1" showColumnStripes="0"/>
</table>
</file>

<file path=xl/tables/table406.xml><?xml version="1.0" encoding="utf-8"?>
<table xmlns="http://schemas.openxmlformats.org/spreadsheetml/2006/main" id="406" name="Tabela1640586061407" displayName="Tabela1640586061407" ref="B242:G251" headerRowCount="0" totalsRowShown="0">
  <tableColumns count="6">
    <tableColumn id="1" name="Kolumna1" dataDxfId="751">
      <calculatedColumnFormula>'Wzorzec kategorii'!B204</calculatedColumnFormula>
    </tableColumn>
    <tableColumn id="2" name="Kolumna2" dataDxfId="750"/>
    <tableColumn id="3" name="Kolumna3" dataDxfId="749">
      <calculatedColumnFormula>SUM(Tabela1923455963409[#This Row])</calculatedColumnFormula>
    </tableColumn>
    <tableColumn id="4" name="Kolumna4" dataDxfId="748">
      <calculatedColumnFormula>C242-D242</calculatedColumnFormula>
    </tableColumn>
    <tableColumn id="5" name="Kolumna5" dataDxfId="747">
      <calculatedColumnFormula>IFERROR(D242/C242,"")</calculatedColumnFormula>
    </tableColumn>
    <tableColumn id="6" name="Kolumna6" dataDxfId="746"/>
  </tableColumns>
  <tableStyleInfo name="TableStyleLight9" showFirstColumn="0" showLastColumn="0" showRowStripes="1" showColumnStripes="0"/>
</table>
</file>

<file path=xl/tables/table407.xml><?xml version="1.0" encoding="utf-8"?>
<table xmlns="http://schemas.openxmlformats.org/spreadsheetml/2006/main" id="407" name="Tabela1923455962408" displayName="Tabela1923455962408" ref="I229:AM239" totalsRowShown="0" headerRowDxfId="745" dataDxfId="743" headerRowBorderDxfId="744">
  <autoFilter ref="I229:AM2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42"/>
    <tableColumn id="2" name="2" dataDxfId="741"/>
    <tableColumn id="3" name="3" dataDxfId="740"/>
    <tableColumn id="4" name="4" dataDxfId="739"/>
    <tableColumn id="5" name="5" dataDxfId="738"/>
    <tableColumn id="6" name="6" dataDxfId="737"/>
    <tableColumn id="7" name="7" dataDxfId="736"/>
    <tableColumn id="8" name="8" dataDxfId="735"/>
    <tableColumn id="9" name="9" dataDxfId="734"/>
    <tableColumn id="10" name="10" dataDxfId="733"/>
    <tableColumn id="11" name="11" dataDxfId="732"/>
    <tableColumn id="12" name="12" dataDxfId="731"/>
    <tableColumn id="13" name="13" dataDxfId="730"/>
    <tableColumn id="14" name="14" dataDxfId="729"/>
    <tableColumn id="15" name="15" dataDxfId="728"/>
    <tableColumn id="16" name="16" dataDxfId="727"/>
    <tableColumn id="17" name="17" dataDxfId="726"/>
    <tableColumn id="18" name="18" dataDxfId="725"/>
    <tableColumn id="19" name="19" dataDxfId="724"/>
    <tableColumn id="20" name="20" dataDxfId="723"/>
    <tableColumn id="21" name="21" dataDxfId="722"/>
    <tableColumn id="22" name="22" dataDxfId="721"/>
    <tableColumn id="23" name="23" dataDxfId="720"/>
    <tableColumn id="24" name="24" dataDxfId="719"/>
    <tableColumn id="25" name="25" dataDxfId="718"/>
    <tableColumn id="26" name="26" dataDxfId="717"/>
    <tableColumn id="27" name="27" dataDxfId="716"/>
    <tableColumn id="28" name="28" dataDxfId="715"/>
    <tableColumn id="29" name="29" dataDxfId="714"/>
    <tableColumn id="30" name="30" dataDxfId="713"/>
    <tableColumn id="31" name="31" dataDxfId="712"/>
  </tableColumns>
  <tableStyleInfo name="TableStyleMedium9" showFirstColumn="0" showLastColumn="0" showRowStripes="1" showColumnStripes="0"/>
</table>
</file>

<file path=xl/tables/table408.xml><?xml version="1.0" encoding="utf-8"?>
<table xmlns="http://schemas.openxmlformats.org/spreadsheetml/2006/main" id="408" name="Tabela1923455963409" displayName="Tabela1923455963409" ref="I241:AM251" totalsRowShown="0" headerRowDxfId="711" dataDxfId="709" headerRowBorderDxfId="710">
  <autoFilter ref="I241:AM25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08"/>
    <tableColumn id="2" name="2" dataDxfId="707"/>
    <tableColumn id="3" name="3" dataDxfId="706"/>
    <tableColumn id="4" name="4" dataDxfId="705"/>
    <tableColumn id="5" name="5" dataDxfId="704"/>
    <tableColumn id="6" name="6" dataDxfId="703"/>
    <tableColumn id="7" name="7" dataDxfId="702"/>
    <tableColumn id="8" name="8" dataDxfId="701"/>
    <tableColumn id="9" name="9" dataDxfId="700"/>
    <tableColumn id="10" name="10" dataDxfId="699"/>
    <tableColumn id="11" name="11" dataDxfId="698"/>
    <tableColumn id="12" name="12" dataDxfId="697"/>
    <tableColumn id="13" name="13" dataDxfId="696"/>
    <tableColumn id="14" name="14" dataDxfId="695"/>
    <tableColumn id="15" name="15" dataDxfId="694"/>
    <tableColumn id="16" name="16" dataDxfId="693"/>
    <tableColumn id="17" name="17" dataDxfId="692"/>
    <tableColumn id="18" name="18" dataDxfId="691"/>
    <tableColumn id="19" name="19" dataDxfId="690"/>
    <tableColumn id="20" name="20" dataDxfId="689"/>
    <tableColumn id="21" name="21" dataDxfId="688"/>
    <tableColumn id="22" name="22" dataDxfId="687"/>
    <tableColumn id="23" name="23" dataDxfId="686"/>
    <tableColumn id="24" name="24" dataDxfId="685"/>
    <tableColumn id="25" name="25" dataDxfId="684"/>
    <tableColumn id="26" name="26" dataDxfId="683"/>
    <tableColumn id="27" name="27" dataDxfId="682"/>
    <tableColumn id="28" name="28" dataDxfId="681"/>
    <tableColumn id="29" name="29" dataDxfId="680"/>
    <tableColumn id="30" name="30" dataDxfId="679"/>
    <tableColumn id="31" name="31" dataDxfId="678"/>
  </tableColumns>
  <tableStyleInfo name="TableStyleMedium9" showFirstColumn="0" showLastColumn="0" showRowStripes="1" showColumnStripes="0"/>
</table>
</file>

<file path=xl/tables/table409.xml><?xml version="1.0" encoding="utf-8"?>
<table xmlns="http://schemas.openxmlformats.org/spreadsheetml/2006/main" id="409" name="Tabela33064410" displayName="Tabela33064410" ref="I51:AM66" totalsRowShown="0" headerRowDxfId="677">
  <autoFilter ref="I51:AM6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76"/>
    <tableColumn id="2" name="2" dataDxfId="675"/>
    <tableColumn id="3" name="3" dataDxfId="674"/>
    <tableColumn id="4" name="4" dataDxfId="673"/>
    <tableColumn id="5" name="5" dataDxfId="672"/>
    <tableColumn id="6" name="6" dataDxfId="671"/>
    <tableColumn id="7" name="7" dataDxfId="670"/>
    <tableColumn id="8" name="8" dataDxfId="669"/>
    <tableColumn id="9" name="9" dataDxfId="668"/>
    <tableColumn id="10" name="10" dataDxfId="667"/>
    <tableColumn id="11" name="11" dataDxfId="666"/>
    <tableColumn id="12" name="12" dataDxfId="665"/>
    <tableColumn id="13" name="13" dataDxfId="664"/>
    <tableColumn id="14" name="14" dataDxfId="663"/>
    <tableColumn id="15" name="15" dataDxfId="662"/>
    <tableColumn id="16" name="16" dataDxfId="661"/>
    <tableColumn id="17" name="17" dataDxfId="660"/>
    <tableColumn id="18" name="18" dataDxfId="659"/>
    <tableColumn id="19" name="19" dataDxfId="658"/>
    <tableColumn id="20" name="20" dataDxfId="657"/>
    <tableColumn id="21" name="21" dataDxfId="656"/>
    <tableColumn id="22" name="22" dataDxfId="655"/>
    <tableColumn id="23" name="23" dataDxfId="654"/>
    <tableColumn id="24" name="24" dataDxfId="653"/>
    <tableColumn id="25" name="25" dataDxfId="652"/>
    <tableColumn id="26" name="26" dataDxfId="651"/>
    <tableColumn id="27" name="27" dataDxfId="650"/>
    <tableColumn id="28" name="28" dataDxfId="649"/>
    <tableColumn id="29" name="29" dataDxfId="648"/>
    <tableColumn id="30" name="30" dataDxfId="647"/>
    <tableColumn id="31" name="31" dataDxfId="646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53" name="Tabela16403655354" displayName="Tabela16403655354" ref="B204:C213" headerRowCount="0" totalsRowShown="0">
  <tableColumns count="2">
    <tableColumn id="1" name="Kolumna1" dataDxfId="7863"/>
    <tableColumn id="2" name="Kolumna2" dataDxfId="7862"/>
  </tableColumns>
  <tableStyleInfo name="TableStyleLight9" showFirstColumn="0" showLastColumn="0" showRowStripes="1" showColumnStripes="0"/>
</table>
</file>

<file path=xl/tables/table410.xml><?xml version="1.0" encoding="utf-8"?>
<table xmlns="http://schemas.openxmlformats.org/spreadsheetml/2006/main" id="410" name="Jedzenie2411" displayName="Jedzenie2411" ref="B74:G83" headerRowCount="0" totalsRowShown="0" headerRowDxfId="645" dataDxfId="644">
  <tableColumns count="6">
    <tableColumn id="1" name="Kategoria" dataDxfId="643">
      <calculatedColumnFormula>'Wzorzec kategorii'!B36</calculatedColumnFormula>
    </tableColumn>
    <tableColumn id="2" name="0" headerRowDxfId="642" dataDxfId="641"/>
    <tableColumn id="3" name="02" headerRowDxfId="640" dataDxfId="639">
      <calculatedColumnFormula>SUM(Tabela330414[#This Row])</calculatedColumnFormula>
    </tableColumn>
    <tableColumn id="4" name="Kolumna4" dataDxfId="638">
      <calculatedColumnFormula>C74-D74</calculatedColumnFormula>
    </tableColumn>
    <tableColumn id="5" name="Kolumna1" dataDxfId="637">
      <calculatedColumnFormula>IFERROR(D74/C74,"")</calculatedColumnFormula>
    </tableColumn>
    <tableColumn id="6" name="Kolumna2" dataDxfId="636"/>
  </tableColumns>
  <tableStyleInfo name="TableStyleLight9" showFirstColumn="0" showLastColumn="0" showRowStripes="1" showColumnStripes="0"/>
</table>
</file>

<file path=xl/tables/table411.xml><?xml version="1.0" encoding="utf-8"?>
<table xmlns="http://schemas.openxmlformats.org/spreadsheetml/2006/main" id="411" name="Transport3412" displayName="Transport3412" ref="B98:G107" headerRowCount="0" totalsRowShown="0">
  <tableColumns count="6">
    <tableColumn id="1" name="Kolumna1" dataDxfId="635">
      <calculatedColumnFormula>'Wzorzec kategorii'!B60</calculatedColumnFormula>
    </tableColumn>
    <tableColumn id="2" name="Kolumna2" dataDxfId="634"/>
    <tableColumn id="3" name="Kolumna3" dataDxfId="633">
      <calculatedColumnFormula>SUM(Tabela1942426[#This Row])</calculatedColumnFormula>
    </tableColumn>
    <tableColumn id="4" name="Kolumna4" dataDxfId="632">
      <calculatedColumnFormula>C98-D98</calculatedColumnFormula>
    </tableColumn>
    <tableColumn id="5" name="Kolumna5" dataDxfId="631">
      <calculatedColumnFormula>IFERROR(D98/C98,"")</calculatedColumnFormula>
    </tableColumn>
    <tableColumn id="6" name="Kolumna6" dataDxfId="630"/>
  </tableColumns>
  <tableStyleInfo name="TableStyleLight9" showFirstColumn="0" showLastColumn="0" showRowStripes="1" showColumnStripes="0"/>
</table>
</file>

<file path=xl/tables/table412.xml><?xml version="1.0" encoding="utf-8"?>
<table xmlns="http://schemas.openxmlformats.org/spreadsheetml/2006/main" id="412" name="Tabela718413" displayName="Tabela718413" ref="B52:G66" headerRowCount="0" totalsRowShown="0" headerRowDxfId="629" dataDxfId="628">
  <tableColumns count="6">
    <tableColumn id="1" name="Kolumna1" dataDxfId="627">
      <calculatedColumnFormula>'Wzorzec kategorii'!B15</calculatedColumnFormula>
    </tableColumn>
    <tableColumn id="2" name="Kolumna2" dataDxfId="626"/>
    <tableColumn id="3" name="Kolumna3" dataDxfId="625">
      <calculatedColumnFormula>SUM(Tabela33064442[#This Row])</calculatedColumnFormula>
    </tableColumn>
    <tableColumn id="4" name="Kolumna4" dataDxfId="624">
      <calculatedColumnFormula>Tabela718413[[#This Row],[Kolumna3]]-Tabela718413[[#This Row],[Kolumna2]]</calculatedColumnFormula>
    </tableColumn>
    <tableColumn id="5" name="Kolumna5" dataDxfId="623" dataCellStyle="Procentowy">
      <calculatedColumnFormula>IFERROR(D52/C52,"")</calculatedColumnFormula>
    </tableColumn>
    <tableColumn id="6" name="Kolumna6" dataDxfId="622"/>
  </tableColumns>
  <tableStyleInfo name="TableStyleLight9" showFirstColumn="0" showLastColumn="0" showRowStripes="1" showColumnStripes="0"/>
</table>
</file>

<file path=xl/tables/table413.xml><?xml version="1.0" encoding="utf-8"?>
<table xmlns="http://schemas.openxmlformats.org/spreadsheetml/2006/main" id="413" name="Tabela330414" displayName="Tabela330414" ref="I73:AM83" totalsRowShown="0" headerRowDxfId="621">
  <autoFilter ref="I73:AM8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20"/>
    <tableColumn id="2" name="2" dataDxfId="619"/>
    <tableColumn id="3" name="3" dataDxfId="618"/>
    <tableColumn id="4" name="4" dataDxfId="617"/>
    <tableColumn id="5" name="5" dataDxfId="616"/>
    <tableColumn id="6" name="6" dataDxfId="615"/>
    <tableColumn id="7" name="7" dataDxfId="614"/>
    <tableColumn id="8" name="8" dataDxfId="613"/>
    <tableColumn id="9" name="9" dataDxfId="612"/>
    <tableColumn id="10" name="10" dataDxfId="611"/>
    <tableColumn id="11" name="11" dataDxfId="610"/>
    <tableColumn id="12" name="12" dataDxfId="609"/>
    <tableColumn id="13" name="13" dataDxfId="608"/>
    <tableColumn id="14" name="14" dataDxfId="607"/>
    <tableColumn id="15" name="15" dataDxfId="606"/>
    <tableColumn id="16" name="16" dataDxfId="605"/>
    <tableColumn id="17" name="17" dataDxfId="604"/>
    <tableColumn id="18" name="18" dataDxfId="603"/>
    <tableColumn id="19" name="19" dataDxfId="602"/>
    <tableColumn id="20" name="20" dataDxfId="601"/>
    <tableColumn id="21" name="21" dataDxfId="600"/>
    <tableColumn id="22" name="22" dataDxfId="599"/>
    <tableColumn id="23" name="23" dataDxfId="598"/>
    <tableColumn id="24" name="24" dataDxfId="597"/>
    <tableColumn id="25" name="25" dataDxfId="596"/>
    <tableColumn id="26" name="26" dataDxfId="595"/>
    <tableColumn id="27" name="27" dataDxfId="594"/>
    <tableColumn id="28" name="28" dataDxfId="593"/>
    <tableColumn id="29" name="29" dataDxfId="592"/>
    <tableColumn id="30" name="30" dataDxfId="591"/>
    <tableColumn id="31" name="31" dataDxfId="590"/>
  </tableColumns>
  <tableStyleInfo name="TableStyleMedium9" showFirstColumn="0" showLastColumn="0" showRowStripes="1" showColumnStripes="0"/>
</table>
</file>

<file path=xl/tables/table414.xml><?xml version="1.0" encoding="utf-8"?>
<table xmlns="http://schemas.openxmlformats.org/spreadsheetml/2006/main" id="414" name="Tabela431415" displayName="Tabela431415" ref="B86:G95" headerRowCount="0" totalsRowShown="0" headerRowDxfId="589">
  <tableColumns count="6">
    <tableColumn id="1" name="Kolumna1" dataDxfId="588">
      <calculatedColumnFormula>'Wzorzec kategorii'!B48</calculatedColumnFormula>
    </tableColumn>
    <tableColumn id="2" name="Kolumna2" headerRowDxfId="587" dataDxfId="586"/>
    <tableColumn id="3" name="Kolumna3" headerRowDxfId="585" dataDxfId="584">
      <calculatedColumnFormula>SUM(Tabela1841425[#This Row])</calculatedColumnFormula>
    </tableColumn>
    <tableColumn id="4" name="Kolumna4" headerRowDxfId="583" dataDxfId="582">
      <calculatedColumnFormula>C86-D86</calculatedColumnFormula>
    </tableColumn>
    <tableColumn id="5" name="Kolumna5" headerRowDxfId="581" dataDxfId="580">
      <calculatedColumnFormula>IFERROR(D86/C86,"")</calculatedColumnFormula>
    </tableColumn>
    <tableColumn id="6" name="Kolumna6" headerRowDxfId="579" dataDxfId="578"/>
  </tableColumns>
  <tableStyleInfo name="TableStyleLight9" showFirstColumn="0" showLastColumn="0" showRowStripes="1" showColumnStripes="0"/>
</table>
</file>

<file path=xl/tables/table415.xml><?xml version="1.0" encoding="utf-8"?>
<table xmlns="http://schemas.openxmlformats.org/spreadsheetml/2006/main" id="415" name="Tabela832416" displayName="Tabela832416" ref="B110:G119" headerRowCount="0" totalsRowShown="0">
  <tableColumns count="6">
    <tableColumn id="1" name="Kolumna1" headerRowDxfId="577" dataDxfId="576">
      <calculatedColumnFormula>'Wzorzec kategorii'!B72</calculatedColumnFormula>
    </tableColumn>
    <tableColumn id="2" name="Kolumna2" dataDxfId="575"/>
    <tableColumn id="3" name="Kolumna3" dataDxfId="574">
      <calculatedColumnFormula>SUM(Tabela192143427[#This Row])</calculatedColumnFormula>
    </tableColumn>
    <tableColumn id="4" name="Kolumna4" dataDxfId="573">
      <calculatedColumnFormula>C110-D110</calculatedColumnFormula>
    </tableColumn>
    <tableColumn id="5" name="Kolumna5" dataDxfId="572">
      <calculatedColumnFormula>IFERROR(D110/C110,"")</calculatedColumnFormula>
    </tableColumn>
    <tableColumn id="6" name="Kolumna6" dataDxfId="571"/>
  </tableColumns>
  <tableStyleInfo name="TableStyleLight9" showFirstColumn="0" showLastColumn="0" showRowStripes="1" showColumnStripes="0"/>
</table>
</file>

<file path=xl/tables/table416.xml><?xml version="1.0" encoding="utf-8"?>
<table xmlns="http://schemas.openxmlformats.org/spreadsheetml/2006/main" id="416" name="Tabela933417" displayName="Tabela933417" ref="B122:G131" headerRowCount="0" totalsRowShown="0">
  <tableColumns count="6">
    <tableColumn id="1" name="Kolumna1" headerRowDxfId="570" dataDxfId="569">
      <calculatedColumnFormula>'Wzorzec kategorii'!B84</calculatedColumnFormula>
    </tableColumn>
    <tableColumn id="2" name="Kolumna2" dataDxfId="568"/>
    <tableColumn id="3" name="Kolumna3" dataDxfId="567">
      <calculatedColumnFormula>SUM(Tabela19212547431[#This Row])</calculatedColumnFormula>
    </tableColumn>
    <tableColumn id="4" name="Kolumna4" dataDxfId="566">
      <calculatedColumnFormula>C122-D122</calculatedColumnFormula>
    </tableColumn>
    <tableColumn id="5" name="Kolumna5" dataDxfId="565">
      <calculatedColumnFormula>IFERROR(D122/C122,"")</calculatedColumnFormula>
    </tableColumn>
    <tableColumn id="6" name="Kolumna6" dataDxfId="564"/>
  </tableColumns>
  <tableStyleInfo name="TableStyleLight9" showFirstColumn="0" showLastColumn="0" showRowStripes="1" showColumnStripes="0"/>
</table>
</file>

<file path=xl/tables/table417.xml><?xml version="1.0" encoding="utf-8"?>
<table xmlns="http://schemas.openxmlformats.org/spreadsheetml/2006/main" id="417" name="Tabela1034418" displayName="Tabela1034418" ref="B134:G143" headerRowCount="0" totalsRowShown="0">
  <tableColumns count="6">
    <tableColumn id="1" name="Kolumna1" headerRowDxfId="563" dataDxfId="562">
      <calculatedColumnFormula>'Wzorzec kategorii'!B96</calculatedColumnFormula>
    </tableColumn>
    <tableColumn id="2" name="Kolumna2" dataDxfId="561"/>
    <tableColumn id="3" name="Kolumna3" dataDxfId="560">
      <calculatedColumnFormula>SUM(Tabela19212446430[#This Row])</calculatedColumnFormula>
    </tableColumn>
    <tableColumn id="4" name="Kolumna4" dataDxfId="559">
      <calculatedColumnFormula>C134-D134</calculatedColumnFormula>
    </tableColumn>
    <tableColumn id="5" name="Kolumna5" dataDxfId="558">
      <calculatedColumnFormula>IFERROR(D134/C134,"")</calculatedColumnFormula>
    </tableColumn>
    <tableColumn id="6" name="Kolumna6" dataDxfId="557"/>
  </tableColumns>
  <tableStyleInfo name="TableStyleLight9" showFirstColumn="0" showLastColumn="0" showRowStripes="1" showColumnStripes="0"/>
</table>
</file>

<file path=xl/tables/table418.xml><?xml version="1.0" encoding="utf-8"?>
<table xmlns="http://schemas.openxmlformats.org/spreadsheetml/2006/main" id="418" name="Tabela1135419" displayName="Tabela1135419" ref="B146:G155" headerRowCount="0" totalsRowShown="0">
  <tableColumns count="6">
    <tableColumn id="1" name="Kolumna1" dataDxfId="556">
      <calculatedColumnFormula>'Wzorzec kategorii'!B108</calculatedColumnFormula>
    </tableColumn>
    <tableColumn id="2" name="Kolumna2" dataDxfId="555"/>
    <tableColumn id="3" name="Kolumna3" dataDxfId="554">
      <calculatedColumnFormula>SUM(Tabela192244428[#This Row])</calculatedColumnFormula>
    </tableColumn>
    <tableColumn id="4" name="Kolumna4" dataDxfId="553">
      <calculatedColumnFormula>C146-D146</calculatedColumnFormula>
    </tableColumn>
    <tableColumn id="5" name="Kolumna5" dataDxfId="552">
      <calculatedColumnFormula>IFERROR(D146/C146,"")</calculatedColumnFormula>
    </tableColumn>
    <tableColumn id="6" name="Kolumna6" dataDxfId="551"/>
  </tableColumns>
  <tableStyleInfo name="TableStyleLight9" showFirstColumn="0" showLastColumn="0" showRowStripes="1" showColumnStripes="0"/>
</table>
</file>

<file path=xl/tables/table419.xml><?xml version="1.0" encoding="utf-8"?>
<table xmlns="http://schemas.openxmlformats.org/spreadsheetml/2006/main" id="419" name="Tabela1236420" displayName="Tabela1236420" ref="B158:G167" headerRowCount="0" totalsRowShown="0">
  <tableColumns count="6">
    <tableColumn id="1" name="Kolumna1" dataDxfId="550">
      <calculatedColumnFormula>'Wzorzec kategorii'!B120</calculatedColumnFormula>
    </tableColumn>
    <tableColumn id="2" name="Kolumna2" dataDxfId="549"/>
    <tableColumn id="3" name="Kolumna3" dataDxfId="548">
      <calculatedColumnFormula>SUM(Tabela2548432[#This Row])</calculatedColumnFormula>
    </tableColumn>
    <tableColumn id="4" name="Kolumna4" dataDxfId="547">
      <calculatedColumnFormula>C158-D158</calculatedColumnFormula>
    </tableColumn>
    <tableColumn id="5" name="Kolumna5" dataDxfId="546">
      <calculatedColumnFormula>IFERROR(D158/C158,"")</calculatedColumnFormula>
    </tableColumn>
    <tableColumn id="6" name="Kolumna6"/>
  </tableColumns>
  <tableStyleInfo name="TableStyleLight9" showFirstColumn="0" showLastColumn="0" showRowStripes="1" showColumnStripes="0"/>
</table>
</file>

<file path=xl/tables/table42.xml><?xml version="1.0" encoding="utf-8"?>
<table xmlns="http://schemas.openxmlformats.org/spreadsheetml/2006/main" id="442" name="Jedzenie2443" displayName="Jedzenie2443" ref="B74:G83" headerRowCount="0" totalsRowShown="0" headerRowDxfId="7861" dataDxfId="7860">
  <tableColumns count="6">
    <tableColumn id="1" name="Kategoria" dataDxfId="7859">
      <calculatedColumnFormula>'Wzorzec kategorii'!B36</calculatedColumnFormula>
    </tableColumn>
    <tableColumn id="2" name="0" headerRowDxfId="7858" dataDxfId="7857">
      <calculatedColumnFormula>Jedzenie2[[#This Row],[0]]+Jedzenie265[[#This Row],[0]]+Jedzenie297[[#This Row],[0]]+Jedzenie2129[[#This Row],[0]]+Jedzenie2161[[#This Row],[0]]+Jedzenie2193[[#This Row],[0]]+Jedzenie2225[[#This Row],[0]]+Jedzenie2257[[#This Row],[0]]+Jedzenie2289[[#This Row],[0]]+Jedzenie2321[[#This Row],[0]]+Jedzenie2366[[#This Row],[0]]+Jedzenie2411[[#This Row],[0]]</calculatedColumnFormula>
    </tableColumn>
    <tableColumn id="3" name="02" headerRowDxfId="7856" dataDxfId="7855">
      <calculatedColumnFormula>Jedzenie2[[#This Row],[02]]+Jedzenie265[[#This Row],[02]]+Jedzenie297[[#This Row],[02]]+Jedzenie2129[[#This Row],[02]]+Jedzenie2161[[#This Row],[02]]+Jedzenie2193[[#This Row],[02]]+Jedzenie2225[[#This Row],[02]]+Jedzenie2257[[#This Row],[02]]+Jedzenie2289[[#This Row],[02]]+Jedzenie2321[[#This Row],[02]]+Jedzenie2366[[#This Row],[02]]+Jedzenie2411[[#This Row],[02]]</calculatedColumnFormula>
    </tableColumn>
    <tableColumn id="4" name="Kolumna4" dataDxfId="7854">
      <calculatedColumnFormula>C74-D74</calculatedColumnFormula>
    </tableColumn>
    <tableColumn id="5" name="Kolumna1" dataDxfId="7853">
      <calculatedColumnFormula>IFERROR(D74/C74,"")</calculatedColumnFormula>
    </tableColumn>
    <tableColumn id="6" name="Kolumna2" dataDxfId="7852"/>
  </tableColumns>
  <tableStyleInfo name="TableStyleLight9" showFirstColumn="0" showLastColumn="0" showRowStripes="1" showColumnStripes="0"/>
</table>
</file>

<file path=xl/tables/table420.xml><?xml version="1.0" encoding="utf-8"?>
<table xmlns="http://schemas.openxmlformats.org/spreadsheetml/2006/main" id="420" name="Tabela1337421" displayName="Tabela1337421" ref="B170:G179" headerRowCount="0" totalsRowShown="0">
  <tableColumns count="6">
    <tableColumn id="1" name="Kolumna1" dataDxfId="545">
      <calculatedColumnFormula>'Wzorzec kategorii'!B132</calculatedColumnFormula>
    </tableColumn>
    <tableColumn id="2" name="Kolumna2" dataDxfId="544"/>
    <tableColumn id="3" name="Kolumna3" dataDxfId="543">
      <calculatedColumnFormula>SUM(Tabela2649433[#This Row])</calculatedColumnFormula>
    </tableColumn>
    <tableColumn id="4" name="Kolumna4" dataDxfId="542">
      <calculatedColumnFormula>C170-D170</calculatedColumnFormula>
    </tableColumn>
    <tableColumn id="5" name="Kolumna5" dataDxfId="541">
      <calculatedColumnFormula>IFERROR(D170/C170,"")</calculatedColumnFormula>
    </tableColumn>
    <tableColumn id="6" name="Kolumna6" dataDxfId="540"/>
  </tableColumns>
  <tableStyleInfo name="TableStyleLight9" showFirstColumn="0" showLastColumn="0" showRowStripes="1" showColumnStripes="0"/>
</table>
</file>

<file path=xl/tables/table421.xml><?xml version="1.0" encoding="utf-8"?>
<table xmlns="http://schemas.openxmlformats.org/spreadsheetml/2006/main" id="421" name="Tabela1438422" displayName="Tabela1438422" ref="B182:G191" headerRowCount="0" totalsRowShown="0">
  <tableColumns count="6">
    <tableColumn id="1" name="Kolumna1" dataDxfId="539">
      <calculatedColumnFormula>'Wzorzec kategorii'!B144</calculatedColumnFormula>
    </tableColumn>
    <tableColumn id="2" name="Kolumna2" dataDxfId="538"/>
    <tableColumn id="3" name="Kolumna3" dataDxfId="537">
      <calculatedColumnFormula>SUM(Tabela2750434[#This Row])</calculatedColumnFormula>
    </tableColumn>
    <tableColumn id="4" name="Kolumna4" dataDxfId="536">
      <calculatedColumnFormula>C182-D182</calculatedColumnFormula>
    </tableColumn>
    <tableColumn id="5" name="Kolumna5" dataDxfId="535">
      <calculatedColumnFormula>IFERROR(D182/C182,"")</calculatedColumnFormula>
    </tableColumn>
    <tableColumn id="6" name="Kolumna6" dataDxfId="534"/>
  </tableColumns>
  <tableStyleInfo name="TableStyleLight9" showFirstColumn="0" showLastColumn="0" showRowStripes="1" showColumnStripes="0"/>
</table>
</file>

<file path=xl/tables/table422.xml><?xml version="1.0" encoding="utf-8"?>
<table xmlns="http://schemas.openxmlformats.org/spreadsheetml/2006/main" id="422" name="Tabela1539423" displayName="Tabela1539423" ref="B194:G203" headerRowCount="0" totalsRowShown="0">
  <tableColumns count="6">
    <tableColumn id="1" name="Kolumna1" dataDxfId="533">
      <calculatedColumnFormula>'Wzorzec kategorii'!B156</calculatedColumnFormula>
    </tableColumn>
    <tableColumn id="2" name="Kolumna2" dataDxfId="532"/>
    <tableColumn id="3" name="Kolumna3" dataDxfId="531">
      <calculatedColumnFormula>SUM(Tabela2851435[#This Row])</calculatedColumnFormula>
    </tableColumn>
    <tableColumn id="4" name="Kolumna4" dataDxfId="530">
      <calculatedColumnFormula>C194-D194</calculatedColumnFormula>
    </tableColumn>
    <tableColumn id="5" name="Kolumna5" dataDxfId="529">
      <calculatedColumnFormula>IFERROR(D194/C194,"")</calculatedColumnFormula>
    </tableColumn>
    <tableColumn id="6" name="Kolumna6" dataDxfId="528"/>
  </tableColumns>
  <tableStyleInfo name="TableStyleLight9" showFirstColumn="0" showLastColumn="0" showRowStripes="1" showColumnStripes="0"/>
</table>
</file>

<file path=xl/tables/table423.xml><?xml version="1.0" encoding="utf-8"?>
<table xmlns="http://schemas.openxmlformats.org/spreadsheetml/2006/main" id="423" name="Tabela1640424" displayName="Tabela1640424" ref="B206:G215" headerRowCount="0" totalsRowShown="0">
  <tableColumns count="6">
    <tableColumn id="1" name="Kolumna1" dataDxfId="527">
      <calculatedColumnFormula>'Wzorzec kategorii'!B168</calculatedColumnFormula>
    </tableColumn>
    <tableColumn id="2" name="Kolumna2" dataDxfId="526"/>
    <tableColumn id="3" name="Kolumna3" dataDxfId="525">
      <calculatedColumnFormula>SUM(Tabela192345429[#This Row])</calculatedColumnFormula>
    </tableColumn>
    <tableColumn id="4" name="Kolumna4" dataDxfId="524">
      <calculatedColumnFormula>C206-D206</calculatedColumnFormula>
    </tableColumn>
    <tableColumn id="5" name="Kolumna5" dataDxfId="523">
      <calculatedColumnFormula>IFERROR(D206/C206,"")</calculatedColumnFormula>
    </tableColumn>
    <tableColumn id="6" name="Kolumna6" dataDxfId="522"/>
  </tableColumns>
  <tableStyleInfo name="TableStyleLight9" showFirstColumn="0" showLastColumn="0" showRowStripes="1" showColumnStripes="0"/>
</table>
</file>

<file path=xl/tables/table424.xml><?xml version="1.0" encoding="utf-8"?>
<table xmlns="http://schemas.openxmlformats.org/spreadsheetml/2006/main" id="424" name="Tabela1841425" displayName="Tabela1841425" ref="I85:AM95" totalsRowShown="0" headerRowDxfId="521" dataDxfId="519" headerRowBorderDxfId="520">
  <autoFilter ref="I85:AM9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18"/>
    <tableColumn id="2" name="2" dataDxfId="517"/>
    <tableColumn id="3" name="3" dataDxfId="516"/>
    <tableColumn id="4" name="4" dataDxfId="515"/>
    <tableColumn id="5" name="5" dataDxfId="514"/>
    <tableColumn id="6" name="6" dataDxfId="513"/>
    <tableColumn id="7" name="7" dataDxfId="512"/>
    <tableColumn id="8" name="8" dataDxfId="511"/>
    <tableColumn id="9" name="9" dataDxfId="510"/>
    <tableColumn id="10" name="10" dataDxfId="509"/>
    <tableColumn id="11" name="11" dataDxfId="508"/>
    <tableColumn id="12" name="12" dataDxfId="507"/>
    <tableColumn id="13" name="13" dataDxfId="506"/>
    <tableColumn id="14" name="14" dataDxfId="505"/>
    <tableColumn id="15" name="15" dataDxfId="504"/>
    <tableColumn id="16" name="16" dataDxfId="503"/>
    <tableColumn id="17" name="17" dataDxfId="502"/>
    <tableColumn id="18" name="18" dataDxfId="501"/>
    <tableColumn id="19" name="19" dataDxfId="500"/>
    <tableColumn id="20" name="20" dataDxfId="499"/>
    <tableColumn id="21" name="21" dataDxfId="498"/>
    <tableColumn id="22" name="22" dataDxfId="497"/>
    <tableColumn id="23" name="23" dataDxfId="496"/>
    <tableColumn id="24" name="24" dataDxfId="495"/>
    <tableColumn id="25" name="25" dataDxfId="494"/>
    <tableColumn id="26" name="26" dataDxfId="493"/>
    <tableColumn id="27" name="27" dataDxfId="492"/>
    <tableColumn id="28" name="28" dataDxfId="491"/>
    <tableColumn id="29" name="29" dataDxfId="490"/>
    <tableColumn id="30" name="30" dataDxfId="489"/>
    <tableColumn id="31" name="31" dataDxfId="488"/>
  </tableColumns>
  <tableStyleInfo name="TableStyleMedium9" showFirstColumn="0" showLastColumn="0" showRowStripes="1" showColumnStripes="0"/>
</table>
</file>

<file path=xl/tables/table425.xml><?xml version="1.0" encoding="utf-8"?>
<table xmlns="http://schemas.openxmlformats.org/spreadsheetml/2006/main" id="425" name="Tabela1942426" displayName="Tabela1942426" ref="I97:AM107" totalsRowShown="0" headerRowDxfId="487" dataDxfId="485" headerRowBorderDxfId="486">
  <autoFilter ref="I97:AM10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84"/>
    <tableColumn id="2" name="2" dataDxfId="483"/>
    <tableColumn id="3" name="3" dataDxfId="482"/>
    <tableColumn id="4" name="4" dataDxfId="481"/>
    <tableColumn id="5" name="5" dataDxfId="480"/>
    <tableColumn id="6" name="6" dataDxfId="479"/>
    <tableColumn id="7" name="7" dataDxfId="478"/>
    <tableColumn id="8" name="8" dataDxfId="477"/>
    <tableColumn id="9" name="9" dataDxfId="476"/>
    <tableColumn id="10" name="10" dataDxfId="475"/>
    <tableColumn id="11" name="11" dataDxfId="474"/>
    <tableColumn id="12" name="12" dataDxfId="473"/>
    <tableColumn id="13" name="13" dataDxfId="472"/>
    <tableColumn id="14" name="14" dataDxfId="471"/>
    <tableColumn id="15" name="15" dataDxfId="470"/>
    <tableColumn id="16" name="16" dataDxfId="469"/>
    <tableColumn id="17" name="17" dataDxfId="468"/>
    <tableColumn id="18" name="18" dataDxfId="467"/>
    <tableColumn id="19" name="19" dataDxfId="466"/>
    <tableColumn id="20" name="20" dataDxfId="465"/>
    <tableColumn id="21" name="21" dataDxfId="464"/>
    <tableColumn id="22" name="22" dataDxfId="463"/>
    <tableColumn id="23" name="23" dataDxfId="462"/>
    <tableColumn id="24" name="24" dataDxfId="461"/>
    <tableColumn id="25" name="25" dataDxfId="460"/>
    <tableColumn id="26" name="26" dataDxfId="459"/>
    <tableColumn id="27" name="27" dataDxfId="458"/>
    <tableColumn id="28" name="28" dataDxfId="457"/>
    <tableColumn id="29" name="29" dataDxfId="456"/>
    <tableColumn id="30" name="30" dataDxfId="455"/>
    <tableColumn id="31" name="31" dataDxfId="454"/>
  </tableColumns>
  <tableStyleInfo name="TableStyleMedium9" showFirstColumn="0" showLastColumn="0" showRowStripes="1" showColumnStripes="0"/>
</table>
</file>

<file path=xl/tables/table426.xml><?xml version="1.0" encoding="utf-8"?>
<table xmlns="http://schemas.openxmlformats.org/spreadsheetml/2006/main" id="426" name="Tabela192143427" displayName="Tabela192143427" ref="I109:AM119" totalsRowShown="0" headerRowDxfId="453" dataDxfId="451" headerRowBorderDxfId="452">
  <autoFilter ref="I109:AM1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50"/>
    <tableColumn id="2" name="2" dataDxfId="449"/>
    <tableColumn id="3" name="3" dataDxfId="448"/>
    <tableColumn id="4" name="4" dataDxfId="447"/>
    <tableColumn id="5" name="5" dataDxfId="446"/>
    <tableColumn id="6" name="6" dataDxfId="445"/>
    <tableColumn id="7" name="7" dataDxfId="444"/>
    <tableColumn id="8" name="8" dataDxfId="443"/>
    <tableColumn id="9" name="9" dataDxfId="442"/>
    <tableColumn id="10" name="10" dataDxfId="441"/>
    <tableColumn id="11" name="11" dataDxfId="440"/>
    <tableColumn id="12" name="12" dataDxfId="439"/>
    <tableColumn id="13" name="13" dataDxfId="438"/>
    <tableColumn id="14" name="14" dataDxfId="437"/>
    <tableColumn id="15" name="15" dataDxfId="436"/>
    <tableColumn id="16" name="16" dataDxfId="435"/>
    <tableColumn id="17" name="17" dataDxfId="434"/>
    <tableColumn id="18" name="18" dataDxfId="433"/>
    <tableColumn id="19" name="19" dataDxfId="432"/>
    <tableColumn id="20" name="20" dataDxfId="431"/>
    <tableColumn id="21" name="21" dataDxfId="430"/>
    <tableColumn id="22" name="22" dataDxfId="429"/>
    <tableColumn id="23" name="23" dataDxfId="428"/>
    <tableColumn id="24" name="24" dataDxfId="427"/>
    <tableColumn id="25" name="25" dataDxfId="426"/>
    <tableColumn id="26" name="26" dataDxfId="425"/>
    <tableColumn id="27" name="27" dataDxfId="424"/>
    <tableColumn id="28" name="28" dataDxfId="423"/>
    <tableColumn id="29" name="29" dataDxfId="422"/>
    <tableColumn id="30" name="30" dataDxfId="421"/>
    <tableColumn id="31" name="31" dataDxfId="420"/>
  </tableColumns>
  <tableStyleInfo name="TableStyleMedium9" showFirstColumn="0" showLastColumn="0" showRowStripes="1" showColumnStripes="0"/>
</table>
</file>

<file path=xl/tables/table427.xml><?xml version="1.0" encoding="utf-8"?>
<table xmlns="http://schemas.openxmlformats.org/spreadsheetml/2006/main" id="427" name="Tabela192244428" displayName="Tabela192244428" ref="I145:AM155" totalsRowShown="0" headerRowDxfId="419" dataDxfId="417" headerRowBorderDxfId="418">
  <autoFilter ref="I145:AM1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16"/>
    <tableColumn id="2" name="2" dataDxfId="415"/>
    <tableColumn id="3" name="3" dataDxfId="414"/>
    <tableColumn id="4" name="4" dataDxfId="413"/>
    <tableColumn id="5" name="5" dataDxfId="412"/>
    <tableColumn id="6" name="6" dataDxfId="411"/>
    <tableColumn id="7" name="7" dataDxfId="410"/>
    <tableColumn id="8" name="8" dataDxfId="409"/>
    <tableColumn id="9" name="9" dataDxfId="408"/>
    <tableColumn id="10" name="10" dataDxfId="407"/>
    <tableColumn id="11" name="11" dataDxfId="406"/>
    <tableColumn id="12" name="12" dataDxfId="405"/>
    <tableColumn id="13" name="13" dataDxfId="404"/>
    <tableColumn id="14" name="14" dataDxfId="403"/>
    <tableColumn id="15" name="15" dataDxfId="402"/>
    <tableColumn id="16" name="16" dataDxfId="401"/>
    <tableColumn id="17" name="17" dataDxfId="400"/>
    <tableColumn id="18" name="18" dataDxfId="399"/>
    <tableColumn id="19" name="19" dataDxfId="398"/>
    <tableColumn id="20" name="20" dataDxfId="397"/>
    <tableColumn id="21" name="21" dataDxfId="396"/>
    <tableColumn id="22" name="22" dataDxfId="395"/>
    <tableColumn id="23" name="23" dataDxfId="394"/>
    <tableColumn id="24" name="24" dataDxfId="393"/>
    <tableColumn id="25" name="25" dataDxfId="392"/>
    <tableColumn id="26" name="26" dataDxfId="391"/>
    <tableColumn id="27" name="27" dataDxfId="390"/>
    <tableColumn id="28" name="28" dataDxfId="389"/>
    <tableColumn id="29" name="29" dataDxfId="388"/>
    <tableColumn id="30" name="30" dataDxfId="387"/>
    <tableColumn id="31" name="31" dataDxfId="386"/>
  </tableColumns>
  <tableStyleInfo name="TableStyleMedium9" showFirstColumn="0" showLastColumn="0" showRowStripes="1" showColumnStripes="0"/>
</table>
</file>

<file path=xl/tables/table428.xml><?xml version="1.0" encoding="utf-8"?>
<table xmlns="http://schemas.openxmlformats.org/spreadsheetml/2006/main" id="428" name="Tabela192345429" displayName="Tabela192345429" ref="I205:AM215" totalsRowShown="0" headerRowDxfId="385" dataDxfId="383" headerRowBorderDxfId="384">
  <autoFilter ref="I205:AM2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82"/>
    <tableColumn id="2" name="2" dataDxfId="381"/>
    <tableColumn id="3" name="3" dataDxfId="380"/>
    <tableColumn id="4" name="4" dataDxfId="379"/>
    <tableColumn id="5" name="5" dataDxfId="378"/>
    <tableColumn id="6" name="6" dataDxfId="377"/>
    <tableColumn id="7" name="7" dataDxfId="376"/>
    <tableColumn id="8" name="8" dataDxfId="375"/>
    <tableColumn id="9" name="9" dataDxfId="374"/>
    <tableColumn id="10" name="10" dataDxfId="373"/>
    <tableColumn id="11" name="11" dataDxfId="372"/>
    <tableColumn id="12" name="12" dataDxfId="371"/>
    <tableColumn id="13" name="13" dataDxfId="370"/>
    <tableColumn id="14" name="14" dataDxfId="369"/>
    <tableColumn id="15" name="15" dataDxfId="368"/>
    <tableColumn id="16" name="16" dataDxfId="367"/>
    <tableColumn id="17" name="17" dataDxfId="366"/>
    <tableColumn id="18" name="18" dataDxfId="365"/>
    <tableColumn id="19" name="19" dataDxfId="364"/>
    <tableColumn id="20" name="20" dataDxfId="363"/>
    <tableColumn id="21" name="21" dataDxfId="362"/>
    <tableColumn id="22" name="22" dataDxfId="361"/>
    <tableColumn id="23" name="23" dataDxfId="360"/>
    <tableColumn id="24" name="24" dataDxfId="359"/>
    <tableColumn id="25" name="25" dataDxfId="358"/>
    <tableColumn id="26" name="26" dataDxfId="357"/>
    <tableColumn id="27" name="27" dataDxfId="356"/>
    <tableColumn id="28" name="28" dataDxfId="355"/>
    <tableColumn id="29" name="29" dataDxfId="354"/>
    <tableColumn id="30" name="30" dataDxfId="353"/>
    <tableColumn id="31" name="31" dataDxfId="352"/>
  </tableColumns>
  <tableStyleInfo name="TableStyleMedium9" showFirstColumn="0" showLastColumn="0" showRowStripes="1" showColumnStripes="0"/>
</table>
</file>

<file path=xl/tables/table429.xml><?xml version="1.0" encoding="utf-8"?>
<table xmlns="http://schemas.openxmlformats.org/spreadsheetml/2006/main" id="429" name="Tabela19212446430" displayName="Tabela19212446430" ref="I133:AM143" totalsRowShown="0" headerRowDxfId="351" dataDxfId="349" headerRowBorderDxfId="350">
  <autoFilter ref="I133:AM1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48"/>
    <tableColumn id="2" name="2" dataDxfId="347"/>
    <tableColumn id="3" name="3" dataDxfId="346"/>
    <tableColumn id="4" name="4" dataDxfId="345"/>
    <tableColumn id="5" name="5" dataDxfId="344"/>
    <tableColumn id="6" name="6" dataDxfId="343"/>
    <tableColumn id="7" name="7" dataDxfId="342"/>
    <tableColumn id="8" name="8" dataDxfId="341"/>
    <tableColumn id="9" name="9" dataDxfId="340"/>
    <tableColumn id="10" name="10" dataDxfId="339"/>
    <tableColumn id="11" name="11" dataDxfId="338"/>
    <tableColumn id="12" name="12" dataDxfId="337"/>
    <tableColumn id="13" name="13" dataDxfId="336"/>
    <tableColumn id="14" name="14" dataDxfId="335"/>
    <tableColumn id="15" name="15" dataDxfId="334"/>
    <tableColumn id="16" name="16" dataDxfId="333"/>
    <tableColumn id="17" name="17" dataDxfId="332"/>
    <tableColumn id="18" name="18" dataDxfId="331"/>
    <tableColumn id="19" name="19" dataDxfId="330"/>
    <tableColumn id="20" name="20" dataDxfId="329"/>
    <tableColumn id="21" name="21" dataDxfId="328"/>
    <tableColumn id="22" name="22" dataDxfId="327"/>
    <tableColumn id="23" name="23" dataDxfId="326"/>
    <tableColumn id="24" name="24" dataDxfId="325"/>
    <tableColumn id="25" name="25" dataDxfId="324"/>
    <tableColumn id="26" name="26" dataDxfId="323"/>
    <tableColumn id="27" name="27" dataDxfId="322"/>
    <tableColumn id="28" name="28" dataDxfId="321"/>
    <tableColumn id="29" name="29" dataDxfId="320"/>
    <tableColumn id="30" name="30" dataDxfId="319"/>
    <tableColumn id="31" name="31" dataDxfId="318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id="443" name="Transport3444" displayName="Transport3444" ref="B98:G107" headerRowCount="0" totalsRowShown="0">
  <tableColumns count="6">
    <tableColumn id="1" name="Kolumna1" dataDxfId="7851">
      <calculatedColumnFormula>'Wzorzec kategorii'!B60</calculatedColumnFormula>
    </tableColumn>
    <tableColumn id="2" name="Kolumna2" dataDxfId="7850">
      <calculatedColumnFormula>Transport3[[#This Row],[Kolumna2]]+Transport366[[#This Row],[Kolumna2]]+Transport398[[#This Row],[Kolumna2]]+Transport3130[[#This Row],[Kolumna2]]+Transport3162[[#This Row],[Kolumna2]]+Transport3194[[#This Row],[Kolumna2]]+Transport3226[[#This Row],[Kolumna2]]+Transport3258[[#This Row],[Kolumna2]]+Transport3290[[#This Row],[Kolumna2]]+Transport3322[[#This Row],[Kolumna2]]+Transport3367[[#This Row],[Kolumna2]]+Transport3412[[#This Row],[Kolumna2]]</calculatedColumnFormula>
    </tableColumn>
    <tableColumn id="3" name="Kolumna3" dataDxfId="7849">
      <calculatedColumnFormula>Transport3[[#This Row],[Kolumna3]]+Transport366[[#This Row],[Kolumna3]]+Transport398[[#This Row],[Kolumna3]]+Transport3130[[#This Row],[Kolumna3]]+Transport3162[[#This Row],[Kolumna3]]+Transport3194[[#This Row],[Kolumna3]]+Transport3226[[#This Row],[Kolumna3]]+Transport3258[[#This Row],[Kolumna3]]+Transport3290[[#This Row],[Kolumna3]]+Transport3322[[#This Row],[Kolumna3]]+Transport3367[[#This Row],[Kolumna3]]+Transport3412[[#This Row],[Kolumna3]]</calculatedColumnFormula>
    </tableColumn>
    <tableColumn id="4" name="Kolumna4" dataDxfId="7848">
      <calculatedColumnFormula>C98-D98</calculatedColumnFormula>
    </tableColumn>
    <tableColumn id="5" name="Kolumna5" dataDxfId="7847">
      <calculatedColumnFormula>IFERROR(D98/C98,"")</calculatedColumnFormula>
    </tableColumn>
    <tableColumn id="6" name="Kolumna6" dataDxfId="7846"/>
  </tableColumns>
  <tableStyleInfo name="TableStyleLight9" showFirstColumn="0" showLastColumn="0" showRowStripes="1" showColumnStripes="0"/>
</table>
</file>

<file path=xl/tables/table430.xml><?xml version="1.0" encoding="utf-8"?>
<table xmlns="http://schemas.openxmlformats.org/spreadsheetml/2006/main" id="430" name="Tabela19212547431" displayName="Tabela19212547431" ref="I121:AM131" totalsRowShown="0" headerRowDxfId="317" dataDxfId="315" headerRowBorderDxfId="316">
  <autoFilter ref="I121:AM1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14"/>
    <tableColumn id="2" name="2" dataDxfId="313"/>
    <tableColumn id="3" name="3" dataDxfId="312"/>
    <tableColumn id="4" name="4" dataDxfId="311"/>
    <tableColumn id="5" name="5" dataDxfId="310"/>
    <tableColumn id="6" name="6" dataDxfId="309"/>
    <tableColumn id="7" name="7" dataDxfId="308"/>
    <tableColumn id="8" name="8" dataDxfId="307"/>
    <tableColumn id="9" name="9" dataDxfId="306"/>
    <tableColumn id="10" name="10" dataDxfId="305"/>
    <tableColumn id="11" name="11" dataDxfId="304"/>
    <tableColumn id="12" name="12" dataDxfId="303"/>
    <tableColumn id="13" name="13" dataDxfId="302"/>
    <tableColumn id="14" name="14" dataDxfId="301"/>
    <tableColumn id="15" name="15" dataDxfId="300"/>
    <tableColumn id="16" name="16" dataDxfId="299"/>
    <tableColumn id="17" name="17" dataDxfId="298"/>
    <tableColumn id="18" name="18" dataDxfId="297"/>
    <tableColumn id="19" name="19" dataDxfId="296"/>
    <tableColumn id="20" name="20" dataDxfId="295"/>
    <tableColumn id="21" name="21" dataDxfId="294"/>
    <tableColumn id="22" name="22" dataDxfId="293"/>
    <tableColumn id="23" name="23" dataDxfId="292"/>
    <tableColumn id="24" name="24" dataDxfId="291"/>
    <tableColumn id="25" name="25" dataDxfId="290"/>
    <tableColumn id="26" name="26" dataDxfId="289"/>
    <tableColumn id="27" name="27" dataDxfId="288"/>
    <tableColumn id="28" name="28" dataDxfId="287"/>
    <tableColumn id="29" name="29" dataDxfId="286"/>
    <tableColumn id="30" name="30" dataDxfId="285"/>
    <tableColumn id="31" name="31" dataDxfId="284"/>
  </tableColumns>
  <tableStyleInfo name="TableStyleMedium9" showFirstColumn="0" showLastColumn="0" showRowStripes="1" showColumnStripes="0"/>
</table>
</file>

<file path=xl/tables/table431.xml><?xml version="1.0" encoding="utf-8"?>
<table xmlns="http://schemas.openxmlformats.org/spreadsheetml/2006/main" id="431" name="Tabela2548432" displayName="Tabela2548432" ref="I157:AM167" totalsRowShown="0" headerRowDxfId="283" dataDxfId="282">
  <autoFilter ref="I157:AM1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81"/>
    <tableColumn id="2" name="2" dataDxfId="280"/>
    <tableColumn id="3" name="3" dataDxfId="279"/>
    <tableColumn id="4" name="4" dataDxfId="278"/>
    <tableColumn id="5" name="5" dataDxfId="277"/>
    <tableColumn id="6" name="6" dataDxfId="276"/>
    <tableColumn id="7" name="7" dataDxfId="275"/>
    <tableColumn id="8" name="8" dataDxfId="274"/>
    <tableColumn id="9" name="9" dataDxfId="273"/>
    <tableColumn id="10" name="10" dataDxfId="272"/>
    <tableColumn id="11" name="11" dataDxfId="271"/>
    <tableColumn id="12" name="12" dataDxfId="270"/>
    <tableColumn id="13" name="13" dataDxfId="269"/>
    <tableColumn id="14" name="14" dataDxfId="268"/>
    <tableColumn id="15" name="15" dataDxfId="267"/>
    <tableColumn id="16" name="16" dataDxfId="266"/>
    <tableColumn id="17" name="17" dataDxfId="265"/>
    <tableColumn id="18" name="18" dataDxfId="264"/>
    <tableColumn id="19" name="19" dataDxfId="263"/>
    <tableColumn id="20" name="20" dataDxfId="262"/>
    <tableColumn id="21" name="21" dataDxfId="261"/>
    <tableColumn id="22" name="22" dataDxfId="260"/>
    <tableColumn id="23" name="23" dataDxfId="259"/>
    <tableColumn id="24" name="24" dataDxfId="258"/>
    <tableColumn id="25" name="25" dataDxfId="257"/>
    <tableColumn id="26" name="26" dataDxfId="256"/>
    <tableColumn id="27" name="27" dataDxfId="255"/>
    <tableColumn id="28" name="28" dataDxfId="254"/>
    <tableColumn id="29" name="29" dataDxfId="253"/>
    <tableColumn id="30" name="30" dataDxfId="252"/>
    <tableColumn id="31" name="31" dataDxfId="251"/>
  </tableColumns>
  <tableStyleInfo name="TableStyleMedium9" showFirstColumn="0" showLastColumn="0" showRowStripes="1" showColumnStripes="0"/>
</table>
</file>

<file path=xl/tables/table432.xml><?xml version="1.0" encoding="utf-8"?>
<table xmlns="http://schemas.openxmlformats.org/spreadsheetml/2006/main" id="432" name="Tabela2649433" displayName="Tabela2649433" ref="I169:AM179" totalsRowShown="0" headerRowDxfId="250" headerRowBorderDxfId="249">
  <autoFilter ref="I169:AM1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48"/>
    <tableColumn id="2" name="2" dataDxfId="247"/>
    <tableColumn id="3" name="3" dataDxfId="246"/>
    <tableColumn id="4" name="4" dataDxfId="245"/>
    <tableColumn id="5" name="5" dataDxfId="244"/>
    <tableColumn id="6" name="6" dataDxfId="243"/>
    <tableColumn id="7" name="7" dataDxfId="242"/>
    <tableColumn id="8" name="8" dataDxfId="241"/>
    <tableColumn id="9" name="9" dataDxfId="240"/>
    <tableColumn id="10" name="10" dataDxfId="239"/>
    <tableColumn id="11" name="11" dataDxfId="238"/>
    <tableColumn id="12" name="12" dataDxfId="237"/>
    <tableColumn id="13" name="13" dataDxfId="236"/>
    <tableColumn id="14" name="14" dataDxfId="235"/>
    <tableColumn id="15" name="15" dataDxfId="234"/>
    <tableColumn id="16" name="16" dataDxfId="233"/>
    <tableColumn id="17" name="17" dataDxfId="232"/>
    <tableColumn id="18" name="18" dataDxfId="231"/>
    <tableColumn id="19" name="19" dataDxfId="230"/>
    <tableColumn id="20" name="20" dataDxfId="229"/>
    <tableColumn id="21" name="21" dataDxfId="228"/>
    <tableColumn id="22" name="22" dataDxfId="227"/>
    <tableColumn id="23" name="23" dataDxfId="226"/>
    <tableColumn id="24" name="24" dataDxfId="225"/>
    <tableColumn id="25" name="25" dataDxfId="224"/>
    <tableColumn id="26" name="26" dataDxfId="223"/>
    <tableColumn id="27" name="27" dataDxfId="222"/>
    <tableColumn id="28" name="28" dataDxfId="221"/>
    <tableColumn id="29" name="29" dataDxfId="220"/>
    <tableColumn id="30" name="30" dataDxfId="219"/>
    <tableColumn id="31" name="31" dataDxfId="218"/>
  </tableColumns>
  <tableStyleInfo name="TableStyleMedium9" showFirstColumn="0" showLastColumn="0" showRowStripes="1" showColumnStripes="0"/>
</table>
</file>

<file path=xl/tables/table433.xml><?xml version="1.0" encoding="utf-8"?>
<table xmlns="http://schemas.openxmlformats.org/spreadsheetml/2006/main" id="433" name="Tabela2750434" displayName="Tabela2750434" ref="I181:AM191" totalsRowShown="0" headerRowDxfId="217">
  <autoFilter ref="I181:AM19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16"/>
    <tableColumn id="2" name="2" dataDxfId="215"/>
    <tableColumn id="3" name="3" dataDxfId="214"/>
    <tableColumn id="4" name="4" dataDxfId="213"/>
    <tableColumn id="5" name="5" dataDxfId="212"/>
    <tableColumn id="6" name="6" dataDxfId="211"/>
    <tableColumn id="7" name="7" dataDxfId="210"/>
    <tableColumn id="8" name="8" dataDxfId="209"/>
    <tableColumn id="9" name="9" dataDxfId="208"/>
    <tableColumn id="10" name="10" dataDxfId="207"/>
    <tableColumn id="11" name="11" dataDxfId="206"/>
    <tableColumn id="12" name="12" dataDxfId="205"/>
    <tableColumn id="13" name="13" dataDxfId="204"/>
    <tableColumn id="14" name="14" dataDxfId="203"/>
    <tableColumn id="15" name="15" dataDxfId="202"/>
    <tableColumn id="16" name="16" dataDxfId="201"/>
    <tableColumn id="17" name="17" dataDxfId="200"/>
    <tableColumn id="18" name="18" dataDxfId="199"/>
    <tableColumn id="19" name="19" dataDxfId="198"/>
    <tableColumn id="20" name="20" dataDxfId="197"/>
    <tableColumn id="21" name="21" dataDxfId="196"/>
    <tableColumn id="22" name="22" dataDxfId="195"/>
    <tableColumn id="23" name="23" dataDxfId="194"/>
    <tableColumn id="24" name="24" dataDxfId="193"/>
    <tableColumn id="25" name="25" dataDxfId="192"/>
    <tableColumn id="26" name="26" dataDxfId="191"/>
    <tableColumn id="27" name="27" dataDxfId="190"/>
    <tableColumn id="28" name="28" dataDxfId="189"/>
    <tableColumn id="29" name="29" dataDxfId="188"/>
    <tableColumn id="30" name="30" dataDxfId="187"/>
    <tableColumn id="31" name="31" dataDxfId="186"/>
  </tableColumns>
  <tableStyleInfo name="TableStyleMedium9" showFirstColumn="0" showLastColumn="0" showRowStripes="1" showColumnStripes="0"/>
</table>
</file>

<file path=xl/tables/table434.xml><?xml version="1.0" encoding="utf-8"?>
<table xmlns="http://schemas.openxmlformats.org/spreadsheetml/2006/main" id="434" name="Tabela2851435" displayName="Tabela2851435" ref="I193:AM203" totalsRowShown="0" headerRowDxfId="185" dataDxfId="183" headerRowBorderDxfId="184">
  <autoFilter ref="I193:AM20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82"/>
    <tableColumn id="2" name="2" dataDxfId="181"/>
    <tableColumn id="3" name="3" dataDxfId="180"/>
    <tableColumn id="4" name="4" dataDxfId="179"/>
    <tableColumn id="5" name="5" dataDxfId="178"/>
    <tableColumn id="6" name="6" dataDxfId="177"/>
    <tableColumn id="7" name="7" dataDxfId="176"/>
    <tableColumn id="8" name="8" dataDxfId="175"/>
    <tableColumn id="9" name="9" dataDxfId="174"/>
    <tableColumn id="10" name="10" dataDxfId="173"/>
    <tableColumn id="11" name="11" dataDxfId="172"/>
    <tableColumn id="12" name="12" dataDxfId="171"/>
    <tableColumn id="13" name="13" dataDxfId="170"/>
    <tableColumn id="14" name="14" dataDxfId="169"/>
    <tableColumn id="15" name="15" dataDxfId="168"/>
    <tableColumn id="16" name="16" dataDxfId="167"/>
    <tableColumn id="17" name="17" dataDxfId="166"/>
    <tableColumn id="18" name="18" dataDxfId="165"/>
    <tableColumn id="19" name="19" dataDxfId="164"/>
    <tableColumn id="20" name="20" dataDxfId="163"/>
    <tableColumn id="21" name="21" dataDxfId="162"/>
    <tableColumn id="22" name="22" dataDxfId="161"/>
    <tableColumn id="23" name="23" dataDxfId="160"/>
    <tableColumn id="24" name="24" dataDxfId="159"/>
    <tableColumn id="25" name="25" dataDxfId="158"/>
    <tableColumn id="26" name="26" dataDxfId="157"/>
    <tableColumn id="27" name="27" dataDxfId="156"/>
    <tableColumn id="28" name="28" dataDxfId="155"/>
    <tableColumn id="29" name="29" dataDxfId="154"/>
    <tableColumn id="30" name="30" dataDxfId="153"/>
    <tableColumn id="31" name="31" dataDxfId="152"/>
  </tableColumns>
  <tableStyleInfo name="TableStyleMedium9" showFirstColumn="0" showLastColumn="0" showRowStripes="1" showColumnStripes="0"/>
</table>
</file>

<file path=xl/tables/table435.xml><?xml version="1.0" encoding="utf-8"?>
<table xmlns="http://schemas.openxmlformats.org/spreadsheetml/2006/main" id="435" name="Tabela164058436" displayName="Tabela164058436" ref="B218:G227" headerRowCount="0" totalsRowShown="0">
  <tableColumns count="6">
    <tableColumn id="1" name="Kolumna1" dataDxfId="151">
      <calculatedColumnFormula>'Wzorzec kategorii'!B180</calculatedColumnFormula>
    </tableColumn>
    <tableColumn id="2" name="Kolumna2" dataDxfId="150"/>
    <tableColumn id="3" name="Kolumna3" dataDxfId="149">
      <calculatedColumnFormula>SUM(Tabela19234559437[#This Row])</calculatedColumnFormula>
    </tableColumn>
    <tableColumn id="4" name="Kolumna4" dataDxfId="148">
      <calculatedColumnFormula>C218-D218</calculatedColumnFormula>
    </tableColumn>
    <tableColumn id="5" name="Kolumna5" dataDxfId="147">
      <calculatedColumnFormula>IFERROR(D218/C218,"")</calculatedColumnFormula>
    </tableColumn>
    <tableColumn id="6" name="Kolumna6" dataDxfId="146"/>
  </tableColumns>
  <tableStyleInfo name="TableStyleLight9" showFirstColumn="0" showLastColumn="0" showRowStripes="1" showColumnStripes="0"/>
</table>
</file>

<file path=xl/tables/table436.xml><?xml version="1.0" encoding="utf-8"?>
<table xmlns="http://schemas.openxmlformats.org/spreadsheetml/2006/main" id="436" name="Tabela19234559437" displayName="Tabela19234559437" ref="I217:AM227" totalsRowShown="0" headerRowDxfId="145" dataDxfId="143" headerRowBorderDxfId="144">
  <autoFilter ref="I217:AM2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42"/>
    <tableColumn id="2" name="2" dataDxfId="141"/>
    <tableColumn id="3" name="3" dataDxfId="140"/>
    <tableColumn id="4" name="4" dataDxfId="139"/>
    <tableColumn id="5" name="5" dataDxfId="138"/>
    <tableColumn id="6" name="6" dataDxfId="137"/>
    <tableColumn id="7" name="7" dataDxfId="136"/>
    <tableColumn id="8" name="8" dataDxfId="135"/>
    <tableColumn id="9" name="9" dataDxfId="134"/>
    <tableColumn id="10" name="10" dataDxfId="133"/>
    <tableColumn id="11" name="11" dataDxfId="132"/>
    <tableColumn id="12" name="12" dataDxfId="131"/>
    <tableColumn id="13" name="13" dataDxfId="130"/>
    <tableColumn id="14" name="14" dataDxfId="129"/>
    <tableColumn id="15" name="15" dataDxfId="128"/>
    <tableColumn id="16" name="16" dataDxfId="127"/>
    <tableColumn id="17" name="17" dataDxfId="126"/>
    <tableColumn id="18" name="18" dataDxfId="125"/>
    <tableColumn id="19" name="19" dataDxfId="124"/>
    <tableColumn id="20" name="20" dataDxfId="123"/>
    <tableColumn id="21" name="21" dataDxfId="122"/>
    <tableColumn id="22" name="22" dataDxfId="121"/>
    <tableColumn id="23" name="23" dataDxfId="120"/>
    <tableColumn id="24" name="24" dataDxfId="119"/>
    <tableColumn id="25" name="25" dataDxfId="118"/>
    <tableColumn id="26" name="26" dataDxfId="117"/>
    <tableColumn id="27" name="27" dataDxfId="116"/>
    <tableColumn id="28" name="28" dataDxfId="115"/>
    <tableColumn id="29" name="29" dataDxfId="114"/>
    <tableColumn id="30" name="30" dataDxfId="113"/>
    <tableColumn id="31" name="31" dataDxfId="112"/>
  </tableColumns>
  <tableStyleInfo name="TableStyleMedium9" showFirstColumn="0" showLastColumn="0" showRowStripes="1" showColumnStripes="0"/>
</table>
</file>

<file path=xl/tables/table437.xml><?xml version="1.0" encoding="utf-8"?>
<table xmlns="http://schemas.openxmlformats.org/spreadsheetml/2006/main" id="437" name="Tabela16405860438" displayName="Tabela16405860438" ref="B230:G239" headerRowCount="0" totalsRowShown="0">
  <tableColumns count="6">
    <tableColumn id="1" name="Kolumna1" dataDxfId="111">
      <calculatedColumnFormula>'Wzorzec kategorii'!B192</calculatedColumnFormula>
    </tableColumn>
    <tableColumn id="2" name="Kolumna2" dataDxfId="110"/>
    <tableColumn id="3" name="Kolumna3" dataDxfId="109">
      <calculatedColumnFormula>SUM(Tabela1923455962440[#This Row])</calculatedColumnFormula>
    </tableColumn>
    <tableColumn id="4" name="Kolumna4" dataDxfId="108">
      <calculatedColumnFormula>C230-D230</calculatedColumnFormula>
    </tableColumn>
    <tableColumn id="5" name="Kolumna5" dataDxfId="107">
      <calculatedColumnFormula>IFERROR(D230/C230,"")</calculatedColumnFormula>
    </tableColumn>
    <tableColumn id="6" name="Kolumna6" dataDxfId="106"/>
  </tableColumns>
  <tableStyleInfo name="TableStyleLight9" showFirstColumn="0" showLastColumn="0" showRowStripes="1" showColumnStripes="0"/>
</table>
</file>

<file path=xl/tables/table438.xml><?xml version="1.0" encoding="utf-8"?>
<table xmlns="http://schemas.openxmlformats.org/spreadsheetml/2006/main" id="438" name="Tabela1640586061439" displayName="Tabela1640586061439" ref="B242:G251" headerRowCount="0" totalsRowShown="0">
  <tableColumns count="6">
    <tableColumn id="1" name="Kolumna1" dataDxfId="105">
      <calculatedColumnFormula>'Wzorzec kategorii'!B204</calculatedColumnFormula>
    </tableColumn>
    <tableColumn id="2" name="Kolumna2" dataDxfId="104"/>
    <tableColumn id="3" name="Kolumna3" dataDxfId="103">
      <calculatedColumnFormula>SUM(Tabela1923455963441[#This Row])</calculatedColumnFormula>
    </tableColumn>
    <tableColumn id="4" name="Kolumna4" dataDxfId="102">
      <calculatedColumnFormula>C242-D242</calculatedColumnFormula>
    </tableColumn>
    <tableColumn id="5" name="Kolumna5" dataDxfId="101">
      <calculatedColumnFormula>IFERROR(D242/C242,"")</calculatedColumnFormula>
    </tableColumn>
    <tableColumn id="6" name="Kolumna6" dataDxfId="100"/>
  </tableColumns>
  <tableStyleInfo name="TableStyleLight9" showFirstColumn="0" showLastColumn="0" showRowStripes="1" showColumnStripes="0"/>
</table>
</file>

<file path=xl/tables/table439.xml><?xml version="1.0" encoding="utf-8"?>
<table xmlns="http://schemas.openxmlformats.org/spreadsheetml/2006/main" id="439" name="Tabela1923455962440" displayName="Tabela1923455962440" ref="I229:AM239" totalsRowShown="0" headerRowDxfId="99" dataDxfId="97" headerRowBorderDxfId="98">
  <autoFilter ref="I229:AM2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96"/>
    <tableColumn id="2" name="2" dataDxfId="95"/>
    <tableColumn id="3" name="3" dataDxfId="94"/>
    <tableColumn id="4" name="4" dataDxfId="93"/>
    <tableColumn id="5" name="5" dataDxfId="92"/>
    <tableColumn id="6" name="6" dataDxfId="91"/>
    <tableColumn id="7" name="7" dataDxfId="90"/>
    <tableColumn id="8" name="8" dataDxfId="89"/>
    <tableColumn id="9" name="9" dataDxfId="88"/>
    <tableColumn id="10" name="10" dataDxfId="87"/>
    <tableColumn id="11" name="11" dataDxfId="86"/>
    <tableColumn id="12" name="12" dataDxfId="85"/>
    <tableColumn id="13" name="13" dataDxfId="84"/>
    <tableColumn id="14" name="14" dataDxfId="83"/>
    <tableColumn id="15" name="15" dataDxfId="82"/>
    <tableColumn id="16" name="16" dataDxfId="81"/>
    <tableColumn id="17" name="17" dataDxfId="80"/>
    <tableColumn id="18" name="18" dataDxfId="79"/>
    <tableColumn id="19" name="19" dataDxfId="78"/>
    <tableColumn id="20" name="20" dataDxfId="77"/>
    <tableColumn id="21" name="21" dataDxfId="76"/>
    <tableColumn id="22" name="22" dataDxfId="75"/>
    <tableColumn id="23" name="23" dataDxfId="74"/>
    <tableColumn id="24" name="24" dataDxfId="73"/>
    <tableColumn id="25" name="25" dataDxfId="72"/>
    <tableColumn id="26" name="26" dataDxfId="71"/>
    <tableColumn id="27" name="27" dataDxfId="70"/>
    <tableColumn id="28" name="28" dataDxfId="69"/>
    <tableColumn id="29" name="29" dataDxfId="68"/>
    <tableColumn id="30" name="30" dataDxfId="67"/>
    <tableColumn id="31" name="31" dataDxfId="66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44" name="Tabela718445" displayName="Tabela718445" ref="B52:G66" headerRowCount="0" totalsRowShown="0" headerRowDxfId="7845" dataDxfId="7844">
  <tableColumns count="6">
    <tableColumn id="1" name="Kolumna1" dataDxfId="7843">
      <calculatedColumnFormula>'Wzorzec kategorii'!B15</calculatedColumnFormula>
    </tableColumn>
    <tableColumn id="2" name="Kolumna2" dataDxfId="7842">
      <calculatedColumnFormula>Tabela718[[#This Row],[Kolumna2]]+Tabela71867[[#This Row],[Kolumna2]]+Tabela71899[[#This Row],[Kolumna2]]+Tabela718131[[#This Row],[Kolumna2]]+Tabela718163[[#This Row],[Kolumna2]]+Tabela718195[[#This Row],[Kolumna2]]+Tabela718227[[#This Row],[Kolumna2]]+Tabela718259[[#This Row],[Kolumna2]]+Tabela718291[[#This Row],[Kolumna2]]+Tabela718323[[#This Row],[Kolumna2]]+Tabela718368[[#This Row],[Kolumna2]]+Tabela718413[[#This Row],[Kolumna2]]</calculatedColumnFormula>
    </tableColumn>
    <tableColumn id="3" name="Kolumna3" dataDxfId="7841">
      <calculatedColumnFormula>Tabela718[[#This Row],[Kolumna3]]+Tabela71867[[#This Row],[Kolumna3]]+Tabela71899[[#This Row],[Kolumna3]]+Tabela718131[[#This Row],[Kolumna3]]+Tabela718163[[#This Row],[Kolumna3]]+Tabela718195[[#This Row],[Kolumna3]]+Tabela718227[[#This Row],[Kolumna3]]+Tabela718259[[#This Row],[Kolumna3]]+Tabela718291[[#This Row],[Kolumna3]]+Tabela718323[[#This Row],[Kolumna3]]+Tabela718368[[#This Row],[Kolumna3]]+Tabela718413[[#This Row],[Kolumna3]]</calculatedColumnFormula>
    </tableColumn>
    <tableColumn id="4" name="Kolumna4" dataDxfId="7840">
      <calculatedColumnFormula>Tabela718445[[#This Row],[Kolumna3]]-Tabela718445[[#This Row],[Kolumna2]]</calculatedColumnFormula>
    </tableColumn>
    <tableColumn id="5" name="Kolumna5" dataDxfId="7839" dataCellStyle="Procentowy">
      <calculatedColumnFormula>IFERROR(D52/C52,"")</calculatedColumnFormula>
    </tableColumn>
    <tableColumn id="6" name="Kolumna6" dataDxfId="7838"/>
  </tableColumns>
  <tableStyleInfo name="TableStyleLight9" showFirstColumn="0" showLastColumn="0" showRowStripes="1" showColumnStripes="0"/>
</table>
</file>

<file path=xl/tables/table440.xml><?xml version="1.0" encoding="utf-8"?>
<table xmlns="http://schemas.openxmlformats.org/spreadsheetml/2006/main" id="440" name="Tabela1923455963441" displayName="Tabela1923455963441" ref="I241:AM251" totalsRowShown="0" headerRowDxfId="65" dataDxfId="63" headerRowBorderDxfId="64">
  <autoFilter ref="I241:AM25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2"/>
    <tableColumn id="2" name="2" dataDxfId="61"/>
    <tableColumn id="3" name="3" dataDxfId="60"/>
    <tableColumn id="4" name="4" dataDxfId="59"/>
    <tableColumn id="5" name="5" dataDxfId="58"/>
    <tableColumn id="6" name="6" dataDxfId="57"/>
    <tableColumn id="7" name="7" dataDxfId="56"/>
    <tableColumn id="8" name="8" dataDxfId="55"/>
    <tableColumn id="9" name="9" dataDxfId="54"/>
    <tableColumn id="10" name="10" dataDxfId="53"/>
    <tableColumn id="11" name="11" dataDxfId="52"/>
    <tableColumn id="12" name="12" dataDxfId="51"/>
    <tableColumn id="13" name="13" dataDxfId="50"/>
    <tableColumn id="14" name="14" dataDxfId="49"/>
    <tableColumn id="15" name="15" dataDxfId="48"/>
    <tableColumn id="16" name="16" dataDxfId="47"/>
    <tableColumn id="17" name="17" dataDxfId="46"/>
    <tableColumn id="18" name="18" dataDxfId="45"/>
    <tableColumn id="19" name="19" dataDxfId="44"/>
    <tableColumn id="20" name="20" dataDxfId="43"/>
    <tableColumn id="21" name="21" dataDxfId="42"/>
    <tableColumn id="22" name="22" dataDxfId="41"/>
    <tableColumn id="23" name="23" dataDxfId="40"/>
    <tableColumn id="24" name="24" dataDxfId="39"/>
    <tableColumn id="25" name="25" dataDxfId="38"/>
    <tableColumn id="26" name="26" dataDxfId="37"/>
    <tableColumn id="27" name="27" dataDxfId="36"/>
    <tableColumn id="28" name="28" dataDxfId="35"/>
    <tableColumn id="29" name="29" dataDxfId="34"/>
    <tableColumn id="30" name="30" dataDxfId="33"/>
    <tableColumn id="31" name="31" dataDxfId="32"/>
  </tableColumns>
  <tableStyleInfo name="TableStyleMedium9" showFirstColumn="0" showLastColumn="0" showRowStripes="1" showColumnStripes="0"/>
</table>
</file>

<file path=xl/tables/table441.xml><?xml version="1.0" encoding="utf-8"?>
<table xmlns="http://schemas.openxmlformats.org/spreadsheetml/2006/main" id="441" name="Tabela33064442" displayName="Tabela33064442" ref="I51:AM66" totalsRowShown="0" headerRowDxfId="31">
  <autoFilter ref="I51:AM6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0"/>
    <tableColumn id="2" name="2" dataDxfId="29"/>
    <tableColumn id="3" name="3" dataDxfId="28"/>
    <tableColumn id="4" name="4" dataDxfId="27"/>
    <tableColumn id="5" name="5" dataDxfId="26"/>
    <tableColumn id="6" name="6" dataDxfId="25"/>
    <tableColumn id="7" name="7" dataDxfId="24"/>
    <tableColumn id="8" name="8" dataDxfId="23"/>
    <tableColumn id="9" name="9" dataDxfId="22"/>
    <tableColumn id="10" name="10" dataDxfId="21"/>
    <tableColumn id="11" name="11" dataDxfId="20"/>
    <tableColumn id="12" name="12" dataDxfId="19"/>
    <tableColumn id="13" name="13" dataDxfId="18"/>
    <tableColumn id="14" name="14" dataDxfId="17"/>
    <tableColumn id="15" name="15" dataDxfId="16"/>
    <tableColumn id="16" name="16" dataDxfId="15"/>
    <tableColumn id="17" name="17" dataDxfId="14"/>
    <tableColumn id="18" name="18" dataDxfId="13"/>
    <tableColumn id="19" name="19" dataDxfId="12"/>
    <tableColumn id="20" name="20" dataDxfId="11"/>
    <tableColumn id="21" name="21" dataDxfId="10"/>
    <tableColumn id="22" name="22" dataDxfId="9"/>
    <tableColumn id="23" name="23" dataDxfId="8"/>
    <tableColumn id="24" name="24" dataDxfId="7"/>
    <tableColumn id="25" name="25" dataDxfId="6"/>
    <tableColumn id="26" name="26" dataDxfId="5"/>
    <tableColumn id="27" name="27" dataDxfId="4"/>
    <tableColumn id="28" name="28" dataDxfId="3"/>
    <tableColumn id="29" name="29" dataDxfId="2"/>
    <tableColumn id="30" name="30" dataDxfId="1"/>
    <tableColumn id="31" name="31" dataDxfId="0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46" name="Tabela431447" displayName="Tabela431447" ref="B86:G95" headerRowCount="0" totalsRowShown="0" headerRowDxfId="7837">
  <tableColumns count="6">
    <tableColumn id="1" name="Kolumna1" dataDxfId="7836">
      <calculatedColumnFormula>'Wzorzec kategorii'!B48</calculatedColumnFormula>
    </tableColumn>
    <tableColumn id="2" name="Kolumna2" headerRowDxfId="7835" dataDxfId="7834">
      <calculatedColumnFormula>Tabela431[[#This Row],[Kolumna2]]+Tabela43169[[#This Row],[Kolumna2]]+Tabela431101[[#This Row],[Kolumna2]]+Tabela431133[[#This Row],[Kolumna2]]+Tabela431165[[#This Row],[Kolumna2]]+Tabela431197[[#This Row],[Kolumna2]]+Tabela431229[[#This Row],[Kolumna2]]+Tabela431261[[#This Row],[Kolumna2]]+Tabela431293[[#This Row],[Kolumna2]]+Tabela431325[[#This Row],[Kolumna2]]+Tabela431370[[#This Row],[Kolumna2]]+Tabela431415[[#This Row],[Kolumna2]]</calculatedColumnFormula>
    </tableColumn>
    <tableColumn id="3" name="Kolumna3" headerRowDxfId="7833" dataDxfId="7832">
      <calculatedColumnFormula>Tabela431[[#This Row],[Kolumna3]]+Tabela43169[[#This Row],[Kolumna3]]+Tabela431101[[#This Row],[Kolumna3]]+Tabela431133[[#This Row],[Kolumna3]]+Tabela431165[[#This Row],[Kolumna3]]+Tabela431197[[#This Row],[Kolumna3]]+Tabela431229[[#This Row],[Kolumna3]]+Tabela431261[[#This Row],[Kolumna3]]+Tabela431293[[#This Row],[Kolumna3]]+Tabela431325[[#This Row],[Kolumna3]]+Tabela431370[[#This Row],[Kolumna3]]+Tabela431415[[#This Row],[Kolumna3]]</calculatedColumnFormula>
    </tableColumn>
    <tableColumn id="4" name="Kolumna4" headerRowDxfId="7831" dataDxfId="7830">
      <calculatedColumnFormula>C86-D86</calculatedColumnFormula>
    </tableColumn>
    <tableColumn id="5" name="Kolumna5" headerRowDxfId="7829" dataDxfId="7828">
      <calculatedColumnFormula>IFERROR(D86/C86,"")</calculatedColumnFormula>
    </tableColumn>
    <tableColumn id="6" name="Kolumna6" headerRowDxfId="7827" dataDxfId="7826"/>
  </tableColumns>
  <tableStyleInfo name="TableStyleLight9" showFirstColumn="0" showLastColumn="0" showRowStripes="1" showColumnStripes="0"/>
</table>
</file>

<file path=xl/tables/table46.xml><?xml version="1.0" encoding="utf-8"?>
<table xmlns="http://schemas.openxmlformats.org/spreadsheetml/2006/main" id="447" name="Tabela832448" displayName="Tabela832448" ref="B110:G119" headerRowCount="0" totalsRowShown="0">
  <tableColumns count="6">
    <tableColumn id="1" name="Kolumna1" headerRowDxfId="7825" dataDxfId="7824">
      <calculatedColumnFormula>'Wzorzec kategorii'!B72</calculatedColumnFormula>
    </tableColumn>
    <tableColumn id="2" name="Kolumna2" dataDxfId="7823">
      <calculatedColumnFormula>Tabela832[[#This Row],[Kolumna2]]+Tabela83270[[#This Row],[Kolumna2]]+Tabela832102[[#This Row],[Kolumna2]]+Tabela832134[[#This Row],[Kolumna2]]+Tabela832166[[#This Row],[Kolumna2]]+Tabela832198[[#This Row],[Kolumna2]]+Tabela832230[[#This Row],[Kolumna2]]+Tabela832262[[#This Row],[Kolumna2]]+Tabela832294[[#This Row],[Kolumna2]]+Tabela832326[[#This Row],[Kolumna2]]+Tabela832371[[#This Row],[Kolumna2]]+Tabela832416[[#This Row],[Kolumna2]]</calculatedColumnFormula>
    </tableColumn>
    <tableColumn id="3" name="Kolumna3" dataDxfId="7822">
      <calculatedColumnFormula>Tabela832[[#This Row],[Kolumna3]]+Tabela83270[[#This Row],[Kolumna3]]+Tabela832102[[#This Row],[Kolumna3]]+Tabela832134[[#This Row],[Kolumna3]]+Tabela832166[[#This Row],[Kolumna3]]+Tabela832198[[#This Row],[Kolumna3]]+Tabela832230[[#This Row],[Kolumna3]]+Tabela832262[[#This Row],[Kolumna3]]+Tabela832294[[#This Row],[Kolumna3]]+Tabela832326[[#This Row],[Kolumna3]]+Tabela832371[[#This Row],[Kolumna3]]+Tabela832416[[#This Row],[Kolumna3]]</calculatedColumnFormula>
    </tableColumn>
    <tableColumn id="4" name="Kolumna4" dataDxfId="7821">
      <calculatedColumnFormula>C110-D110</calculatedColumnFormula>
    </tableColumn>
    <tableColumn id="5" name="Kolumna5" dataDxfId="7820">
      <calculatedColumnFormula>IFERROR(D110/C110,"")</calculatedColumnFormula>
    </tableColumn>
    <tableColumn id="6" name="Kolumna6" dataDxfId="7819"/>
  </tableColumns>
  <tableStyleInfo name="TableStyleLight9" showFirstColumn="0" showLastColumn="0" showRowStripes="1" showColumnStripes="0"/>
</table>
</file>

<file path=xl/tables/table47.xml><?xml version="1.0" encoding="utf-8"?>
<table xmlns="http://schemas.openxmlformats.org/spreadsheetml/2006/main" id="448" name="Tabela933449" displayName="Tabela933449" ref="B122:G131" headerRowCount="0" totalsRowShown="0">
  <tableColumns count="6">
    <tableColumn id="1" name="Kolumna1" headerRowDxfId="7818" dataDxfId="7817">
      <calculatedColumnFormula>'Wzorzec kategorii'!B84</calculatedColumnFormula>
    </tableColumn>
    <tableColumn id="2" name="Kolumna2" dataDxfId="7816">
      <calculatedColumnFormula>Tabela933[[#This Row],[Kolumna2]]+Tabela93371[[#This Row],[Kolumna2]]+Tabela933103[[#This Row],[Kolumna2]]+Tabela933135[[#This Row],[Kolumna2]]+Tabela933167[[#This Row],[Kolumna2]]+Tabela933199[[#This Row],[Kolumna2]]+Tabela933231[[#This Row],[Kolumna2]]+Tabela933263[[#This Row],[Kolumna2]]+Tabela933295[[#This Row],[Kolumna2]]+Tabela933327[[#This Row],[Kolumna2]]+Tabela933372[[#This Row],[Kolumna2]]+Tabela933417[[#This Row],[Kolumna2]]</calculatedColumnFormula>
    </tableColumn>
    <tableColumn id="3" name="Kolumna3" dataDxfId="7815">
      <calculatedColumnFormula>Tabela933[[#This Row],[Kolumna3]]+Tabela93371[[#This Row],[Kolumna3]]+Tabela933103[[#This Row],[Kolumna3]]+Tabela933135[[#This Row],[Kolumna3]]+Tabela933167[[#This Row],[Kolumna3]]+Tabela933199[[#This Row],[Kolumna3]]+Tabela933231[[#This Row],[Kolumna3]]+Tabela933263[[#This Row],[Kolumna3]]+Tabela933295[[#This Row],[Kolumna3]]+Tabela933327[[#This Row],[Kolumna3]]+Tabela933372[[#This Row],[Kolumna3]]+Tabela933417[[#This Row],[Kolumna3]]</calculatedColumnFormula>
    </tableColumn>
    <tableColumn id="4" name="Kolumna4" dataDxfId="7814">
      <calculatedColumnFormula>C122-D122</calculatedColumnFormula>
    </tableColumn>
    <tableColumn id="5" name="Kolumna5" dataDxfId="7813">
      <calculatedColumnFormula>IFERROR(D122/C122,"")</calculatedColumnFormula>
    </tableColumn>
    <tableColumn id="6" name="Kolumna6" dataDxfId="7812"/>
  </tableColumns>
  <tableStyleInfo name="TableStyleLight9" showFirstColumn="0" showLastColumn="0" showRowStripes="1" showColumnStripes="0"/>
</table>
</file>

<file path=xl/tables/table48.xml><?xml version="1.0" encoding="utf-8"?>
<table xmlns="http://schemas.openxmlformats.org/spreadsheetml/2006/main" id="449" name="Tabela1034450" displayName="Tabela1034450" ref="B134:G143" headerRowCount="0" totalsRowShown="0">
  <tableColumns count="6">
    <tableColumn id="1" name="Kolumna1" headerRowDxfId="7811" dataDxfId="7810">
      <calculatedColumnFormula>'Wzorzec kategorii'!B96</calculatedColumnFormula>
    </tableColumn>
    <tableColumn id="2" name="Kolumna2" dataDxfId="7809">
      <calculatedColumnFormula>Tabela1034[[#This Row],[Kolumna2]]+Tabela103472[[#This Row],[Kolumna2]]+Tabela1034104[[#This Row],[Kolumna2]]+Tabela1034136[[#This Row],[Kolumna2]]+Tabela1034168[[#This Row],[Kolumna2]]+Tabela1034200[[#This Row],[Kolumna2]]+Tabela1034232[[#This Row],[Kolumna2]]+Tabela1034264[[#This Row],[Kolumna2]]+Tabela1034296[[#This Row],[Kolumna2]]+Tabela1034328[[#This Row],[Kolumna2]]+Tabela1034373[[#This Row],[Kolumna2]]+Tabela1034418[[#This Row],[Kolumna2]]</calculatedColumnFormula>
    </tableColumn>
    <tableColumn id="3" name="Kolumna3" dataDxfId="7808">
      <calculatedColumnFormula>Tabela1034[[#This Row],[Kolumna3]]+Tabela103472[[#This Row],[Kolumna3]]+Tabela1034104[[#This Row],[Kolumna3]]+Tabela1034136[[#This Row],[Kolumna3]]+Tabela1034168[[#This Row],[Kolumna3]]+Tabela1034200[[#This Row],[Kolumna3]]+Tabela1034232[[#This Row],[Kolumna3]]+Tabela1034264[[#This Row],[Kolumna3]]+Tabela1034296[[#This Row],[Kolumna3]]+Tabela1034328[[#This Row],[Kolumna3]]+Tabela1034373[[#This Row],[Kolumna3]]+Tabela1034418[[#This Row],[Kolumna3]]</calculatedColumnFormula>
    </tableColumn>
    <tableColumn id="4" name="Kolumna4" dataDxfId="7807">
      <calculatedColumnFormula>C134-D134</calculatedColumnFormula>
    </tableColumn>
    <tableColumn id="5" name="Kolumna5" dataDxfId="7806">
      <calculatedColumnFormula>IFERROR(D134/C134,"")</calculatedColumnFormula>
    </tableColumn>
    <tableColumn id="6" name="Kolumna6" dataDxfId="7805"/>
  </tableColumns>
  <tableStyleInfo name="TableStyleLight9" showFirstColumn="0" showLastColumn="0" showRowStripes="1" showColumnStripes="0"/>
</table>
</file>

<file path=xl/tables/table49.xml><?xml version="1.0" encoding="utf-8"?>
<table xmlns="http://schemas.openxmlformats.org/spreadsheetml/2006/main" id="450" name="Tabela1135451" displayName="Tabela1135451" ref="B146:G155" headerRowCount="0" totalsRowShown="0">
  <tableColumns count="6">
    <tableColumn id="1" name="Kolumna1" dataDxfId="7804">
      <calculatedColumnFormula>'Wzorzec kategorii'!B108</calculatedColumnFormula>
    </tableColumn>
    <tableColumn id="2" name="Kolumna2" dataDxfId="7803">
      <calculatedColumnFormula>Tabela1135[[#This Row],[Kolumna2]]+Tabela113573[[#This Row],[Kolumna2]]+Tabela1135105[[#This Row],[Kolumna2]]+Tabela1135137[[#This Row],[Kolumna2]]+Tabela1135169[[#This Row],[Kolumna2]]+Tabela1135201[[#This Row],[Kolumna2]]+Tabela1135233[[#This Row],[Kolumna2]]+Tabela1135265[[#This Row],[Kolumna2]]+Tabela1135297[[#This Row],[Kolumna2]]+Tabela1135329[[#This Row],[Kolumna2]]+Tabela1135374[[#This Row],[Kolumna2]]+Tabela1135419[[#This Row],[Kolumna2]]</calculatedColumnFormula>
    </tableColumn>
    <tableColumn id="3" name="Kolumna3" dataDxfId="7802">
      <calculatedColumnFormula>Tabela1135[[#This Row],[Kolumna3]]+Tabela113573[[#This Row],[Kolumna3]]+Tabela1135105[[#This Row],[Kolumna3]]+Tabela1135137[[#This Row],[Kolumna3]]+Tabela1135169[[#This Row],[Kolumna3]]+Tabela1135201[[#This Row],[Kolumna3]]+Tabela1135233[[#This Row],[Kolumna3]]+Tabela1135265[[#This Row],[Kolumna3]]+Tabela1135297[[#This Row],[Kolumna3]]+Tabela1135329[[#This Row],[Kolumna3]]+Tabela1135374[[#This Row],[Kolumna3]]+Tabela1135419[[#This Row],[Kolumna3]]</calculatedColumnFormula>
    </tableColumn>
    <tableColumn id="4" name="Kolumna4" dataDxfId="7801">
      <calculatedColumnFormula>C146-D146</calculatedColumnFormula>
    </tableColumn>
    <tableColumn id="5" name="Kolumna5" dataDxfId="7800">
      <calculatedColumnFormula>IFERROR(D146/C146,"")</calculatedColumnFormula>
    </tableColumn>
    <tableColumn id="6" name="Kolumna6" dataDxfId="7799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4" name="Tabela4" displayName="Tabela4" ref="B70:G79" headerRowCount="0" totalsRowShown="0" headerRowDxfId="8342">
  <tableColumns count="6">
    <tableColumn id="1" name="Kolumna1" dataDxfId="8341"/>
    <tableColumn id="2" name="Kolumna2" headerRowDxfId="8340" dataDxfId="8339"/>
    <tableColumn id="3" name="Kolumna3" headerRowDxfId="8338" dataDxfId="8337">
      <calculatedColumnFormula>SUM(Tabela18[#This Row])</calculatedColumnFormula>
    </tableColumn>
    <tableColumn id="4" name="Kolumna4" headerRowDxfId="8336" dataDxfId="8335">
      <calculatedColumnFormula>C70-D70</calculatedColumnFormula>
    </tableColumn>
    <tableColumn id="5" name="Kolumna5" headerRowDxfId="8334" dataDxfId="8333">
      <calculatedColumnFormula>IFERROR(D70/C70,"")</calculatedColumnFormula>
    </tableColumn>
    <tableColumn id="6" name="Kolumna6" headerRowDxfId="8332" dataDxfId="8331"/>
  </tableColumns>
  <tableStyleInfo name="TableStyleLight9" showFirstColumn="0" showLastColumn="0" showRowStripes="1" showColumnStripes="0"/>
</table>
</file>

<file path=xl/tables/table50.xml><?xml version="1.0" encoding="utf-8"?>
<table xmlns="http://schemas.openxmlformats.org/spreadsheetml/2006/main" id="451" name="Tabela1236452" displayName="Tabela1236452" ref="B158:G167" headerRowCount="0" totalsRowShown="0">
  <tableColumns count="6">
    <tableColumn id="1" name="Kolumna1" dataDxfId="7798">
      <calculatedColumnFormula>'Wzorzec kategorii'!B120</calculatedColumnFormula>
    </tableColumn>
    <tableColumn id="2" name="Kolumna2" dataDxfId="7797">
      <calculatedColumnFormula>Tabela1236[[#This Row],[Kolumna2]]+Tabela123674[[#This Row],[Kolumna2]]+Tabela1236106[[#This Row],[Kolumna2]]+Tabela1236138[[#This Row],[Kolumna2]]+Tabela1236170[[#This Row],[Kolumna2]]+Tabela1236202[[#This Row],[Kolumna2]]+Tabela1236234[[#This Row],[Kolumna2]]+Tabela1236266[[#This Row],[Kolumna2]]+Tabela1236298[[#This Row],[Kolumna2]]+Tabela1236330[[#This Row],[Kolumna2]]+Tabela1236375[[#This Row],[Kolumna2]]+Tabela1236420[[#This Row],[Kolumna2]]</calculatedColumnFormula>
    </tableColumn>
    <tableColumn id="3" name="Kolumna3" dataDxfId="7796">
      <calculatedColumnFormula>Tabela1236[[#This Row],[Kolumna3]]+Tabela123674[[#This Row],[Kolumna3]]+Tabela1236106[[#This Row],[Kolumna3]]+Tabela1236138[[#This Row],[Kolumna3]]+Tabela1236170[[#This Row],[Kolumna3]]+Tabela1236202[[#This Row],[Kolumna3]]+Tabela1236234[[#This Row],[Kolumna3]]+Tabela1236266[[#This Row],[Kolumna3]]+Tabela1236298[[#This Row],[Kolumna3]]+Tabela1236330[[#This Row],[Kolumna3]]+Tabela1236375[[#This Row],[Kolumna3]]+Tabela1236420[[#This Row],[Kolumna3]]</calculatedColumnFormula>
    </tableColumn>
    <tableColumn id="4" name="Kolumna4" dataDxfId="7795">
      <calculatedColumnFormula>C158-D158</calculatedColumnFormula>
    </tableColumn>
    <tableColumn id="5" name="Kolumna5" dataDxfId="7794">
      <calculatedColumnFormula>IFERROR(D158/C158,"")</calculatedColumnFormula>
    </tableColumn>
    <tableColumn id="6" name="Kolumna6"/>
  </tableColumns>
  <tableStyleInfo name="TableStyleLight9" showFirstColumn="0" showLastColumn="0" showRowStripes="1" showColumnStripes="0"/>
</table>
</file>

<file path=xl/tables/table51.xml><?xml version="1.0" encoding="utf-8"?>
<table xmlns="http://schemas.openxmlformats.org/spreadsheetml/2006/main" id="452" name="Tabela1337453" displayName="Tabela1337453" ref="B170:G179" headerRowCount="0" totalsRowShown="0">
  <tableColumns count="6">
    <tableColumn id="1" name="Kolumna1" dataDxfId="7793">
      <calculatedColumnFormula>'Wzorzec kategorii'!B132</calculatedColumnFormula>
    </tableColumn>
    <tableColumn id="2" name="Kolumna2" dataDxfId="7792">
      <calculatedColumnFormula>Tabela1337[[#This Row],[Kolumna2]]+Tabela133775[[#This Row],[Kolumna2]]+Tabela1337107[[#This Row],[Kolumna2]]+Tabela1337139[[#This Row],[Kolumna2]]+Tabela1337171[[#This Row],[Kolumna2]]+Tabela1337203[[#This Row],[Kolumna2]]+Tabela1337235[[#This Row],[Kolumna2]]+Tabela1337267[[#This Row],[Kolumna2]]+Tabela1337299[[#This Row],[Kolumna2]]+Tabela1337331[[#This Row],[Kolumna2]]+Tabela1337376[[#This Row],[Kolumna2]]+Tabela1337421[[#This Row],[Kolumna2]]</calculatedColumnFormula>
    </tableColumn>
    <tableColumn id="3" name="Kolumna3" dataDxfId="7791">
      <calculatedColumnFormula>Tabela1337[[#This Row],[Kolumna3]]+Tabela133775[[#This Row],[Kolumna3]]+Tabela1337107[[#This Row],[Kolumna3]]+Tabela1337139[[#This Row],[Kolumna3]]+Tabela1337171[[#This Row],[Kolumna3]]+Tabela1337203[[#This Row],[Kolumna3]]+Tabela1337235[[#This Row],[Kolumna3]]+Tabela1337267[[#This Row],[Kolumna3]]+Tabela1337299[[#This Row],[Kolumna3]]+Tabela1337331[[#This Row],[Kolumna3]]+Tabela1337376[[#This Row],[Kolumna3]]+Tabela1337421[[#This Row],[Kolumna3]]</calculatedColumnFormula>
    </tableColumn>
    <tableColumn id="4" name="Kolumna4" dataDxfId="7790">
      <calculatedColumnFormula>C170-D170</calculatedColumnFormula>
    </tableColumn>
    <tableColumn id="5" name="Kolumna5" dataDxfId="7789">
      <calculatedColumnFormula>IFERROR(D170/C170,"")</calculatedColumnFormula>
    </tableColumn>
    <tableColumn id="6" name="Kolumna6" dataDxfId="7788"/>
  </tableColumns>
  <tableStyleInfo name="TableStyleLight9" showFirstColumn="0" showLastColumn="0" showRowStripes="1" showColumnStripes="0"/>
</table>
</file>

<file path=xl/tables/table52.xml><?xml version="1.0" encoding="utf-8"?>
<table xmlns="http://schemas.openxmlformats.org/spreadsheetml/2006/main" id="453" name="Tabela1438454" displayName="Tabela1438454" ref="B182:G191" headerRowCount="0" totalsRowShown="0">
  <tableColumns count="6">
    <tableColumn id="1" name="Kolumna1" dataDxfId="7787">
      <calculatedColumnFormula>'Wzorzec kategorii'!B144</calculatedColumnFormula>
    </tableColumn>
    <tableColumn id="2" name="Kolumna2" dataDxfId="7786">
      <calculatedColumnFormula>Tabela1438[[#This Row],[Kolumna2]]+Tabela143876[[#This Row],[Kolumna2]]+Tabela1438108[[#This Row],[Kolumna2]]+Tabela1438140[[#This Row],[Kolumna2]]+Tabela1438172[[#This Row],[Kolumna2]]+Tabela1438204[[#This Row],[Kolumna2]]+Tabela1438236[[#This Row],[Kolumna2]]+Tabela1438268[[#This Row],[Kolumna2]]+Tabela1438300[[#This Row],[Kolumna2]]+Tabela1438332[[#This Row],[Kolumna2]]+Tabela1438380[[#This Row],[Kolumna2]]+Tabela1438422[[#This Row],[Kolumna2]]</calculatedColumnFormula>
    </tableColumn>
    <tableColumn id="3" name="Kolumna3" dataDxfId="7785">
      <calculatedColumnFormula>Tabela1438[[#This Row],[Kolumna3]]+Tabela143876[[#This Row],[Kolumna3]]+Tabela1438108[[#This Row],[Kolumna3]]+Tabela1438140[[#This Row],[Kolumna3]]+Tabela1438172[[#This Row],[Kolumna3]]+Tabela1438204[[#This Row],[Kolumna3]]+Tabela1438236[[#This Row],[Kolumna3]]+Tabela1438268[[#This Row],[Kolumna3]]+Tabela1438300[[#This Row],[Kolumna3]]+Tabela1438332[[#This Row],[Kolumna3]]+Tabela1438380[[#This Row],[Kolumna3]]+Tabela1438422[[#This Row],[Kolumna3]]</calculatedColumnFormula>
    </tableColumn>
    <tableColumn id="4" name="Kolumna4" dataDxfId="7784">
      <calculatedColumnFormula>C182-D182</calculatedColumnFormula>
    </tableColumn>
    <tableColumn id="5" name="Kolumna5" dataDxfId="7783">
      <calculatedColumnFormula>IFERROR(D182/C182,"")</calculatedColumnFormula>
    </tableColumn>
    <tableColumn id="6" name="Kolumna6" dataDxfId="7782"/>
  </tableColumns>
  <tableStyleInfo name="TableStyleLight9" showFirstColumn="0" showLastColumn="0" showRowStripes="1" showColumnStripes="0"/>
</table>
</file>

<file path=xl/tables/table53.xml><?xml version="1.0" encoding="utf-8"?>
<table xmlns="http://schemas.openxmlformats.org/spreadsheetml/2006/main" id="454" name="Tabela1539455" displayName="Tabela1539455" ref="B194:G203" headerRowCount="0" totalsRowShown="0">
  <tableColumns count="6">
    <tableColumn id="1" name="Kolumna1" dataDxfId="7781">
      <calculatedColumnFormula>'Wzorzec kategorii'!B156</calculatedColumnFormula>
    </tableColumn>
    <tableColumn id="2" name="Kolumna2" dataDxfId="7780">
      <calculatedColumnFormula>Tabela1539[[#This Row],[Kolumna2]]+Tabela153977[[#This Row],[Kolumna2]]+Tabela1539109[[#This Row],[Kolumna2]]+Tabela1539141[[#This Row],[Kolumna2]]+Tabela1539173[[#This Row],[Kolumna2]]+Tabela1539205[[#This Row],[Kolumna2]]+Tabela1539237[[#This Row],[Kolumna2]]+Tabela1539269[[#This Row],[Kolumna2]]+Tabela1539301[[#This Row],[Kolumna2]]+Tabela1539333[[#This Row],[Kolumna2]]+Tabela1539391[[#This Row],[Kolumna2]]+Tabela1539423[[#This Row],[Kolumna2]]</calculatedColumnFormula>
    </tableColumn>
    <tableColumn id="3" name="Kolumna3" dataDxfId="7779">
      <calculatedColumnFormula>Tabela1539[[#This Row],[Kolumna3]]+Tabela153977[[#This Row],[Kolumna3]]+Tabela1539109[[#This Row],[Kolumna3]]+Tabela1539141[[#This Row],[Kolumna3]]+Tabela1539173[[#This Row],[Kolumna3]]+Tabela1539205[[#This Row],[Kolumna3]]+Tabela1539237[[#This Row],[Kolumna3]]+Tabela1539269[[#This Row],[Kolumna3]]+Tabela1539301[[#This Row],[Kolumna3]]+Tabela1539333[[#This Row],[Kolumna3]]+Tabela1539391[[#This Row],[Kolumna3]]+Tabela1539423[[#This Row],[Kolumna3]]</calculatedColumnFormula>
    </tableColumn>
    <tableColumn id="4" name="Kolumna4" dataDxfId="7778">
      <calculatedColumnFormula>C194-D194</calculatedColumnFormula>
    </tableColumn>
    <tableColumn id="5" name="Kolumna5" dataDxfId="7777">
      <calculatedColumnFormula>IFERROR(D194/C194,"")</calculatedColumnFormula>
    </tableColumn>
    <tableColumn id="6" name="Kolumna6" dataDxfId="7776"/>
  </tableColumns>
  <tableStyleInfo name="TableStyleLight9" showFirstColumn="0" showLastColumn="0" showRowStripes="1" showColumnStripes="0"/>
</table>
</file>

<file path=xl/tables/table54.xml><?xml version="1.0" encoding="utf-8"?>
<table xmlns="http://schemas.openxmlformats.org/spreadsheetml/2006/main" id="455" name="Tabela1640456" displayName="Tabela1640456" ref="B206:G215" headerRowCount="0" totalsRowShown="0">
  <tableColumns count="6">
    <tableColumn id="1" name="Kolumna1" dataDxfId="7775">
      <calculatedColumnFormula>'Wzorzec kategorii'!B168</calculatedColumnFormula>
    </tableColumn>
    <tableColumn id="2" name="Kolumna2" dataDxfId="7774">
      <calculatedColumnFormula>Tabela1640[[#This Row],[Kolumna2]]+Tabela164078[[#This Row],[Kolumna2]]+Tabela1640110[[#This Row],[Kolumna2]]+Tabela1640142[[#This Row],[Kolumna2]]+Tabela1640174[[#This Row],[Kolumna2]]+Tabela1640206[[#This Row],[Kolumna2]]+Tabela1640238[[#This Row],[Kolumna2]]+Tabela1640270[[#This Row],[Kolumna2]]+Tabela1640302[[#This Row],[Kolumna2]]+Tabela1640334[[#This Row],[Kolumna2]]+Tabela1640392[[#This Row],[Kolumna2]]+Tabela1640424[[#This Row],[Kolumna2]]</calculatedColumnFormula>
    </tableColumn>
    <tableColumn id="3" name="Kolumna3" dataDxfId="7773">
      <calculatedColumnFormula>Tabela1640[[#This Row],[Kolumna3]]+Tabela164078[[#This Row],[Kolumna3]]+Tabela1640110[[#This Row],[Kolumna3]]+Tabela1640142[[#This Row],[Kolumna3]]+Tabela1640174[[#This Row],[Kolumna3]]+Tabela1640206[[#This Row],[Kolumna3]]+Tabela1640238[[#This Row],[Kolumna3]]+Tabela1640270[[#This Row],[Kolumna3]]+Tabela1640302[[#This Row],[Kolumna3]]+Tabela1640334[[#This Row],[Kolumna3]]+Tabela1640392[[#This Row],[Kolumna3]]+Tabela1640424[[#This Row],[Kolumna3]]</calculatedColumnFormula>
    </tableColumn>
    <tableColumn id="4" name="Kolumna4" dataDxfId="7772">
      <calculatedColumnFormula>C206-D206</calculatedColumnFormula>
    </tableColumn>
    <tableColumn id="5" name="Kolumna5" dataDxfId="7771">
      <calculatedColumnFormula>IFERROR(D206/C206,"")</calculatedColumnFormula>
    </tableColumn>
    <tableColumn id="6" name="Kolumna6" dataDxfId="7770"/>
  </tableColumns>
  <tableStyleInfo name="TableStyleLight9" showFirstColumn="0" showLastColumn="0" showRowStripes="1" showColumnStripes="0"/>
</table>
</file>

<file path=xl/tables/table55.xml><?xml version="1.0" encoding="utf-8"?>
<table xmlns="http://schemas.openxmlformats.org/spreadsheetml/2006/main" id="467" name="Tabela164058468" displayName="Tabela164058468" ref="B218:G227" headerRowCount="0" totalsRowShown="0">
  <tableColumns count="6">
    <tableColumn id="1" name="Kolumna1" dataDxfId="7769">
      <calculatedColumnFormula>'Wzorzec kategorii'!B180</calculatedColumnFormula>
    </tableColumn>
    <tableColumn id="2" name="Kolumna2" dataDxfId="7768">
      <calculatedColumnFormula>Tabela164058[[#This Row],[Kolumna2]]+Tabela16405890[[#This Row],[Kolumna2]]+Tabela164058122[[#This Row],[Kolumna2]]+Tabela164058154[[#This Row],[Kolumna2]]+Tabela164058186[[#This Row],[Kolumna2]]+Tabela164058218[[#This Row],[Kolumna2]]+Tabela164058250[[#This Row],[Kolumna2]]+Tabela164058282[[#This Row],[Kolumna2]]+Tabela164058314[[#This Row],[Kolumna2]]+Tabela164058346[[#This Row],[Kolumna2]]+Tabela164058404[[#This Row],[Kolumna2]]+Tabela164058436[[#This Row],[Kolumna2]]</calculatedColumnFormula>
    </tableColumn>
    <tableColumn id="3" name="Kolumna3" dataDxfId="7767">
      <calculatedColumnFormula>Tabela164058[[#This Row],[Kolumna3]]+Tabela16405890[[#This Row],[Kolumna3]]+Tabela164058122[[#This Row],[Kolumna3]]+Tabela164058154[[#This Row],[Kolumna3]]+Tabela164058186[[#This Row],[Kolumna3]]+Tabela164058218[[#This Row],[Kolumna3]]+Tabela164058250[[#This Row],[Kolumna3]]+Tabela164058282[[#This Row],[Kolumna3]]+Tabela164058314[[#This Row],[Kolumna3]]+Tabela164058346[[#This Row],[Kolumna3]]+Tabela164058404[[#This Row],[Kolumna3]]+Tabela164058436[[#This Row],[Kolumna3]]</calculatedColumnFormula>
    </tableColumn>
    <tableColumn id="4" name="Kolumna4" dataDxfId="7766">
      <calculatedColumnFormula>C218-D218</calculatedColumnFormula>
    </tableColumn>
    <tableColumn id="5" name="Kolumna5" dataDxfId="7765">
      <calculatedColumnFormula>IFERROR(D218/C218,"")</calculatedColumnFormula>
    </tableColumn>
    <tableColumn id="6" name="Kolumna6" dataDxfId="7764"/>
  </tableColumns>
  <tableStyleInfo name="TableStyleLight9" showFirstColumn="0" showLastColumn="0" showRowStripes="1" showColumnStripes="0"/>
</table>
</file>

<file path=xl/tables/table56.xml><?xml version="1.0" encoding="utf-8"?>
<table xmlns="http://schemas.openxmlformats.org/spreadsheetml/2006/main" id="469" name="Tabela16405860470" displayName="Tabela16405860470" ref="B230:G239" headerRowCount="0" totalsRowShown="0">
  <tableColumns count="6">
    <tableColumn id="1" name="Kolumna1" dataDxfId="7763">
      <calculatedColumnFormula>'Wzorzec kategorii'!B192</calculatedColumnFormula>
    </tableColumn>
    <tableColumn id="2" name="Kolumna2" dataDxfId="7762">
      <calculatedColumnFormula>Tabela16405860[[#This Row],[Kolumna2]]+Tabela1640586092[[#This Row],[Kolumna2]]+Tabela16405860124[[#This Row],[Kolumna2]]+Tabela16405860156[[#This Row],[Kolumna2]]+Tabela16405860188[[#This Row],[Kolumna2]]+Tabela16405860220[[#This Row],[Kolumna2]]+Tabela16405860252[[#This Row],[Kolumna2]]+Tabela16405860284[[#This Row],[Kolumna2]]+Tabela16405860316[[#This Row],[Kolumna2]]+Tabela16405860348[[#This Row],[Kolumna2]]+Tabela16405860406[[#This Row],[Kolumna2]]+Tabela16405860438[[#This Row],[Kolumna2]]</calculatedColumnFormula>
    </tableColumn>
    <tableColumn id="3" name="Kolumna3" dataDxfId="7761">
      <calculatedColumnFormula>Tabela16405860[[#This Row],[Kolumna3]]+Tabela1640586092[[#This Row],[Kolumna3]]+Tabela16405860124[[#This Row],[Kolumna3]]+Tabela16405860156[[#This Row],[Kolumna3]]+Tabela16405860188[[#This Row],[Kolumna3]]+Tabela16405860220[[#This Row],[Kolumna3]]+Tabela16405860252[[#This Row],[Kolumna3]]+Tabela16405860284[[#This Row],[Kolumna3]]+Tabela16405860316[[#This Row],[Kolumna3]]+Tabela16405860348[[#This Row],[Kolumna3]]+Tabela16405860406[[#This Row],[Kolumna3]]+Tabela16405860438[[#This Row],[Kolumna3]]</calculatedColumnFormula>
    </tableColumn>
    <tableColumn id="4" name="Kolumna4" dataDxfId="7760">
      <calculatedColumnFormula>C230-D230</calculatedColumnFormula>
    </tableColumn>
    <tableColumn id="5" name="Kolumna5" dataDxfId="7759">
      <calculatedColumnFormula>IFERROR(D230/C230,"")</calculatedColumnFormula>
    </tableColumn>
    <tableColumn id="6" name="Kolumna6" dataDxfId="7758"/>
  </tableColumns>
  <tableStyleInfo name="TableStyleLight9" showFirstColumn="0" showLastColumn="0" showRowStripes="1" showColumnStripes="0"/>
</table>
</file>

<file path=xl/tables/table57.xml><?xml version="1.0" encoding="utf-8"?>
<table xmlns="http://schemas.openxmlformats.org/spreadsheetml/2006/main" id="470" name="Tabela1640586061471" displayName="Tabela1640586061471" ref="B242:G251" headerRowCount="0" totalsRowShown="0">
  <tableColumns count="6">
    <tableColumn id="1" name="Kolumna1" dataDxfId="7757">
      <calculatedColumnFormula>'Wzorzec kategorii'!B204</calculatedColumnFormula>
    </tableColumn>
    <tableColumn id="2" name="Kolumna2" dataDxfId="7756">
      <calculatedColumnFormula>Tabela1640586061[[#This Row],[Kolumna2]]+Tabela164058606193[[#This Row],[Kolumna2]]+Tabela1640586061125[[#This Row],[Kolumna2]]+Tabela1640586061157[[#This Row],[Kolumna2]]+Tabela1640586061189[[#This Row],[Kolumna2]]+Tabela1640586061221[[#This Row],[Kolumna2]]+Tabela1640586061253[[#This Row],[Kolumna2]]+Tabela1640586061285[[#This Row],[Kolumna2]]+Tabela1640586061317[[#This Row],[Kolumna2]]+Tabela1640586061349[[#This Row],[Kolumna2]]+Tabela1640586061407[[#This Row],[Kolumna2]]+Tabela1640586061439[[#This Row],[Kolumna2]]</calculatedColumnFormula>
    </tableColumn>
    <tableColumn id="3" name="Kolumna3" dataDxfId="7755">
      <calculatedColumnFormula>Tabela1640586061[[#This Row],[Kolumna3]]+Tabela164058606193[[#This Row],[Kolumna3]]+Tabela1640586061125[[#This Row],[Kolumna3]]+Tabela1640586061157[[#This Row],[Kolumna3]]+Tabela1640586061189[[#This Row],[Kolumna3]]+Tabela1640586061221[[#This Row],[Kolumna3]]+Tabela1640586061253[[#This Row],[Kolumna3]]+Tabela1640586061285[[#This Row],[Kolumna3]]+Tabela1640586061317[[#This Row],[Kolumna3]]+Tabela1640586061349[[#This Row],[Kolumna3]]+Tabela1640586061407[[#This Row],[Kolumna3]]+Tabela1640586061439[[#This Row],[Kolumna3]]</calculatedColumnFormula>
    </tableColumn>
    <tableColumn id="4" name="Kolumna4" dataDxfId="7754">
      <calculatedColumnFormula>C242-D242</calculatedColumnFormula>
    </tableColumn>
    <tableColumn id="5" name="Kolumna5" dataDxfId="7753">
      <calculatedColumnFormula>IFERROR(D242/C242,"")</calculatedColumnFormula>
    </tableColumn>
    <tableColumn id="6" name="Kolumna6" dataDxfId="7752"/>
  </tableColumns>
  <tableStyleInfo name="TableStyleLight9" showFirstColumn="0" showLastColumn="0" showRowStripes="1" showColumnStripes="0"/>
</table>
</file>

<file path=xl/tables/table58.xml><?xml version="1.0" encoding="utf-8"?>
<table xmlns="http://schemas.openxmlformats.org/spreadsheetml/2006/main" id="1" name="Jedzenie2" displayName="Jedzenie2" ref="B74:G83" headerRowCount="0" totalsRowShown="0" headerRowDxfId="7751" dataDxfId="7750">
  <tableColumns count="6">
    <tableColumn id="1" name="Kategoria" dataDxfId="7749">
      <calculatedColumnFormula>'Wzorzec kategorii'!B36</calculatedColumnFormula>
    </tableColumn>
    <tableColumn id="2" name="0" headerRowDxfId="7748" dataDxfId="7747"/>
    <tableColumn id="3" name="02" headerRowDxfId="7746" dataDxfId="7745">
      <calculatedColumnFormula>SUM(Tabela330[#This Row])</calculatedColumnFormula>
    </tableColumn>
    <tableColumn id="4" name="Kolumna4" dataDxfId="7744">
      <calculatedColumnFormula>C74-D74</calculatedColumnFormula>
    </tableColumn>
    <tableColumn id="5" name="Kolumna1" dataDxfId="7743">
      <calculatedColumnFormula>IFERROR(D74/C74,"")</calculatedColumnFormula>
    </tableColumn>
    <tableColumn id="6" name="Kolumna2" dataDxfId="7742"/>
  </tableColumns>
  <tableStyleInfo name="TableStyleLight9" showFirstColumn="0" showLastColumn="0" showRowStripes="1" showColumnStripes="0"/>
</table>
</file>

<file path=xl/tables/table59.xml><?xml version="1.0" encoding="utf-8"?>
<table xmlns="http://schemas.openxmlformats.org/spreadsheetml/2006/main" id="2" name="Transport3" displayName="Transport3" ref="B98:G107" headerRowCount="0" totalsRowShown="0">
  <tableColumns count="6">
    <tableColumn id="1" name="Kolumna1" dataDxfId="7741">
      <calculatedColumnFormula>'Wzorzec kategorii'!B60</calculatedColumnFormula>
    </tableColumn>
    <tableColumn id="2" name="Kolumna2" dataDxfId="7740"/>
    <tableColumn id="3" name="Kolumna3" dataDxfId="7739">
      <calculatedColumnFormula>SUM(Tabela1942[#This Row])</calculatedColumnFormula>
    </tableColumn>
    <tableColumn id="4" name="Kolumna4" dataDxfId="7738">
      <calculatedColumnFormula>C98-D98</calculatedColumnFormula>
    </tableColumn>
    <tableColumn id="5" name="Kolumna5" dataDxfId="7737">
      <calculatedColumnFormula>IFERROR(D98/C98,"")</calculatedColumnFormula>
    </tableColumn>
    <tableColumn id="6" name="Kolumna6" dataDxfId="773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8" name="Tabela8" displayName="Tabela8" ref="B92:G96" headerRowCount="0" totalsRowShown="0">
  <tableColumns count="6">
    <tableColumn id="1" name="Kolumna1" headerRowDxfId="8330" dataDxfId="8329"/>
    <tableColumn id="2" name="Kolumna2" dataDxfId="8328"/>
    <tableColumn id="3" name="Kolumna3" dataDxfId="8327"/>
    <tableColumn id="4" name="Kolumna4" dataDxfId="8326">
      <calculatedColumnFormula>C92-D92</calculatedColumnFormula>
    </tableColumn>
    <tableColumn id="5" name="Kolumna5" dataDxfId="8325">
      <calculatedColumnFormula>IFERROR(D92/C92,"")</calculatedColumnFormula>
    </tableColumn>
    <tableColumn id="6" name="Kolumna6" dataDxfId="8324"/>
  </tableColumns>
  <tableStyleInfo name="TableStyleLight9" showFirstColumn="0" showLastColumn="0" showRowStripes="1" showColumnStripes="0"/>
</table>
</file>

<file path=xl/tables/table60.xml><?xml version="1.0" encoding="utf-8"?>
<table xmlns="http://schemas.openxmlformats.org/spreadsheetml/2006/main" id="17" name="Tabela718" displayName="Tabela718" ref="B52:G66" headerRowCount="0" totalsRowShown="0" headerRowDxfId="7735" dataDxfId="7734">
  <tableColumns count="6">
    <tableColumn id="1" name="Kolumna1" dataDxfId="7733">
      <calculatedColumnFormula>'Wzorzec kategorii'!B15</calculatedColumnFormula>
    </tableColumn>
    <tableColumn id="2" name="Kolumna2" dataDxfId="7732"/>
    <tableColumn id="3" name="Kolumna3" dataDxfId="7731"/>
    <tableColumn id="4" name="Kolumna4" dataDxfId="7730">
      <calculatedColumnFormula>Tabela718[[#This Row],[Kolumna3]]-Tabela718[[#This Row],[Kolumna2]]</calculatedColumnFormula>
    </tableColumn>
    <tableColumn id="5" name="Kolumna5" dataDxfId="7729" dataCellStyle="Procentowy">
      <calculatedColumnFormula>IFERROR(D52/C52,"")</calculatedColumnFormula>
    </tableColumn>
    <tableColumn id="6" name="Kolumna6" dataDxfId="7728"/>
  </tableColumns>
  <tableStyleInfo name="TableStyleLight9" showFirstColumn="0" showLastColumn="0" showRowStripes="1" showColumnStripes="0"/>
</table>
</file>

<file path=xl/tables/table61.xml><?xml version="1.0" encoding="utf-8"?>
<table xmlns="http://schemas.openxmlformats.org/spreadsheetml/2006/main" id="29" name="Tabela330" displayName="Tabela330" ref="I73:AM83" totalsRowShown="0" headerRowDxfId="7727">
  <autoFilter ref="I73:AM8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726"/>
    <tableColumn id="2" name="2" dataDxfId="7725"/>
    <tableColumn id="3" name="3" dataDxfId="7724"/>
    <tableColumn id="4" name="4" dataDxfId="7723"/>
    <tableColumn id="5" name="5" dataDxfId="7722"/>
    <tableColumn id="6" name="6" dataDxfId="7721"/>
    <tableColumn id="7" name="7" dataDxfId="7720"/>
    <tableColumn id="8" name="8" dataDxfId="7719"/>
    <tableColumn id="9" name="9" dataDxfId="7718"/>
    <tableColumn id="10" name="10" dataDxfId="7717"/>
    <tableColumn id="11" name="11" dataDxfId="7716"/>
    <tableColumn id="12" name="12" dataDxfId="7715"/>
    <tableColumn id="13" name="13" dataDxfId="7714"/>
    <tableColumn id="14" name="14" dataDxfId="7713"/>
    <tableColumn id="15" name="15" dataDxfId="7712"/>
    <tableColumn id="16" name="16" dataDxfId="7711"/>
    <tableColumn id="17" name="17" dataDxfId="7710"/>
    <tableColumn id="18" name="18" dataDxfId="7709"/>
    <tableColumn id="19" name="19" dataDxfId="7708"/>
    <tableColumn id="20" name="20" dataDxfId="7707"/>
    <tableColumn id="21" name="21" dataDxfId="7706"/>
    <tableColumn id="22" name="22" dataDxfId="7705"/>
    <tableColumn id="23" name="23" dataDxfId="7704"/>
    <tableColumn id="24" name="24" dataDxfId="7703"/>
    <tableColumn id="25" name="25" dataDxfId="7702"/>
    <tableColumn id="26" name="26" dataDxfId="7701"/>
    <tableColumn id="27" name="27" dataDxfId="7700"/>
    <tableColumn id="28" name="28" dataDxfId="7699"/>
    <tableColumn id="29" name="29" dataDxfId="7698"/>
    <tableColumn id="30" name="30" dataDxfId="7697"/>
    <tableColumn id="31" name="31" dataDxfId="7696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id="30" name="Tabela431" displayName="Tabela431" ref="B86:G95" headerRowCount="0" totalsRowShown="0" headerRowDxfId="7695">
  <tableColumns count="6">
    <tableColumn id="1" name="Kolumna1" dataDxfId="7694">
      <calculatedColumnFormula>'Wzorzec kategorii'!B48</calculatedColumnFormula>
    </tableColumn>
    <tableColumn id="2" name="Kolumna2" headerRowDxfId="7693" dataDxfId="7692"/>
    <tableColumn id="3" name="Kolumna3" headerRowDxfId="7691" dataDxfId="7690">
      <calculatedColumnFormula>SUM(Tabela1841[#This Row])</calculatedColumnFormula>
    </tableColumn>
    <tableColumn id="4" name="Kolumna4" headerRowDxfId="7689" dataDxfId="7688">
      <calculatedColumnFormula>C86-D86</calculatedColumnFormula>
    </tableColumn>
    <tableColumn id="5" name="Kolumna5" headerRowDxfId="7687" dataDxfId="7686">
      <calculatedColumnFormula>IFERROR(D86/C86,"")</calculatedColumnFormula>
    </tableColumn>
    <tableColumn id="6" name="Kolumna6" headerRowDxfId="7685" dataDxfId="7684"/>
  </tableColumns>
  <tableStyleInfo name="TableStyleLight9" showFirstColumn="0" showLastColumn="0" showRowStripes="1" showColumnStripes="0"/>
</table>
</file>

<file path=xl/tables/table63.xml><?xml version="1.0" encoding="utf-8"?>
<table xmlns="http://schemas.openxmlformats.org/spreadsheetml/2006/main" id="31" name="Tabela832" displayName="Tabela832" ref="B110:G119" headerRowCount="0" totalsRowShown="0">
  <tableColumns count="6">
    <tableColumn id="1" name="Kolumna1" headerRowDxfId="7683" dataDxfId="7682">
      <calculatedColumnFormula>'Wzorzec kategorii'!B72</calculatedColumnFormula>
    </tableColumn>
    <tableColumn id="2" name="Kolumna2" dataDxfId="7681"/>
    <tableColumn id="3" name="Kolumna3" dataDxfId="7680">
      <calculatedColumnFormula>SUM(Tabela192143[#This Row])</calculatedColumnFormula>
    </tableColumn>
    <tableColumn id="4" name="Kolumna4" dataDxfId="7679">
      <calculatedColumnFormula>C110-D110</calculatedColumnFormula>
    </tableColumn>
    <tableColumn id="5" name="Kolumna5" dataDxfId="7678">
      <calculatedColumnFormula>IFERROR(D110/C110,"")</calculatedColumnFormula>
    </tableColumn>
    <tableColumn id="6" name="Kolumna6" dataDxfId="7677"/>
  </tableColumns>
  <tableStyleInfo name="TableStyleLight9" showFirstColumn="0" showLastColumn="0" showRowStripes="1" showColumnStripes="0"/>
</table>
</file>

<file path=xl/tables/table64.xml><?xml version="1.0" encoding="utf-8"?>
<table xmlns="http://schemas.openxmlformats.org/spreadsheetml/2006/main" id="32" name="Tabela933" displayName="Tabela933" ref="B122:G131" headerRowCount="0" totalsRowShown="0">
  <tableColumns count="6">
    <tableColumn id="1" name="Kolumna1" headerRowDxfId="7676" dataDxfId="7675">
      <calculatedColumnFormula>'Wzorzec kategorii'!B84</calculatedColumnFormula>
    </tableColumn>
    <tableColumn id="2" name="Kolumna2" dataDxfId="7674"/>
    <tableColumn id="3" name="Kolumna3" dataDxfId="7673">
      <calculatedColumnFormula>SUM(Tabela19212547[#This Row])</calculatedColumnFormula>
    </tableColumn>
    <tableColumn id="4" name="Kolumna4" dataDxfId="7672">
      <calculatedColumnFormula>C122-D122</calculatedColumnFormula>
    </tableColumn>
    <tableColumn id="5" name="Kolumna5" dataDxfId="7671">
      <calculatedColumnFormula>IFERROR(D122/C122,"")</calculatedColumnFormula>
    </tableColumn>
    <tableColumn id="6" name="Kolumna6" dataDxfId="7670"/>
  </tableColumns>
  <tableStyleInfo name="TableStyleLight9" showFirstColumn="0" showLastColumn="0" showRowStripes="1" showColumnStripes="0"/>
</table>
</file>

<file path=xl/tables/table65.xml><?xml version="1.0" encoding="utf-8"?>
<table xmlns="http://schemas.openxmlformats.org/spreadsheetml/2006/main" id="33" name="Tabela1034" displayName="Tabela1034" ref="B134:G143" headerRowCount="0" totalsRowShown="0">
  <tableColumns count="6">
    <tableColumn id="1" name="Kolumna1" headerRowDxfId="7669" dataDxfId="7668">
      <calculatedColumnFormula>'Wzorzec kategorii'!B96</calculatedColumnFormula>
    </tableColumn>
    <tableColumn id="2" name="Kolumna2" dataDxfId="7667"/>
    <tableColumn id="3" name="Kolumna3" dataDxfId="7666">
      <calculatedColumnFormula>SUM(Tabela19212446[#This Row])</calculatedColumnFormula>
    </tableColumn>
    <tableColumn id="4" name="Kolumna4" dataDxfId="7665">
      <calculatedColumnFormula>C134-D134</calculatedColumnFormula>
    </tableColumn>
    <tableColumn id="5" name="Kolumna5" dataDxfId="7664">
      <calculatedColumnFormula>IFERROR(D134/C134,"")</calculatedColumnFormula>
    </tableColumn>
    <tableColumn id="6" name="Kolumna6" dataDxfId="7663"/>
  </tableColumns>
  <tableStyleInfo name="TableStyleLight9" showFirstColumn="0" showLastColumn="0" showRowStripes="1" showColumnStripes="0"/>
</table>
</file>

<file path=xl/tables/table66.xml><?xml version="1.0" encoding="utf-8"?>
<table xmlns="http://schemas.openxmlformats.org/spreadsheetml/2006/main" id="34" name="Tabela1135" displayName="Tabela1135" ref="B146:G155" headerRowCount="0" totalsRowShown="0">
  <tableColumns count="6">
    <tableColumn id="1" name="Kolumna1" dataDxfId="7662">
      <calculatedColumnFormula>'Wzorzec kategorii'!B108</calculatedColumnFormula>
    </tableColumn>
    <tableColumn id="2" name="Kolumna2" dataDxfId="7661"/>
    <tableColumn id="3" name="Kolumna3" dataDxfId="7660">
      <calculatedColumnFormula>SUM(Tabela192244[#This Row])</calculatedColumnFormula>
    </tableColumn>
    <tableColumn id="4" name="Kolumna4" dataDxfId="7659">
      <calculatedColumnFormula>C146-D146</calculatedColumnFormula>
    </tableColumn>
    <tableColumn id="5" name="Kolumna5" dataDxfId="7658">
      <calculatedColumnFormula>IFERROR(D146/C146,"")</calculatedColumnFormula>
    </tableColumn>
    <tableColumn id="6" name="Kolumna6" dataDxfId="7657"/>
  </tableColumns>
  <tableStyleInfo name="TableStyleLight9" showFirstColumn="0" showLastColumn="0" showRowStripes="1" showColumnStripes="0"/>
</table>
</file>

<file path=xl/tables/table67.xml><?xml version="1.0" encoding="utf-8"?>
<table xmlns="http://schemas.openxmlformats.org/spreadsheetml/2006/main" id="35" name="Tabela1236" displayName="Tabela1236" ref="B158:G167" headerRowCount="0" totalsRowShown="0">
  <tableColumns count="6">
    <tableColumn id="1" name="Kolumna1" dataDxfId="7656">
      <calculatedColumnFormula>'Wzorzec kategorii'!B120</calculatedColumnFormula>
    </tableColumn>
    <tableColumn id="2" name="Kolumna2" dataDxfId="7655"/>
    <tableColumn id="3" name="Kolumna3" dataDxfId="7654">
      <calculatedColumnFormula>SUM(Tabela2548[#This Row])</calculatedColumnFormula>
    </tableColumn>
    <tableColumn id="4" name="Kolumna4" dataDxfId="7653">
      <calculatedColumnFormula>C158-D158</calculatedColumnFormula>
    </tableColumn>
    <tableColumn id="5" name="Kolumna5" dataDxfId="7652">
      <calculatedColumnFormula>IFERROR(D158/C158,"")</calculatedColumnFormula>
    </tableColumn>
    <tableColumn id="6" name="Kolumna6"/>
  </tableColumns>
  <tableStyleInfo name="TableStyleLight9" showFirstColumn="0" showLastColumn="0" showRowStripes="1" showColumnStripes="0"/>
</table>
</file>

<file path=xl/tables/table68.xml><?xml version="1.0" encoding="utf-8"?>
<table xmlns="http://schemas.openxmlformats.org/spreadsheetml/2006/main" id="36" name="Tabela1337" displayName="Tabela1337" ref="B170:G179" headerRowCount="0" totalsRowShown="0">
  <tableColumns count="6">
    <tableColumn id="1" name="Kolumna1" dataDxfId="7651">
      <calculatedColumnFormula>'Wzorzec kategorii'!B132</calculatedColumnFormula>
    </tableColumn>
    <tableColumn id="2" name="Kolumna2" dataDxfId="7650"/>
    <tableColumn id="3" name="Kolumna3" dataDxfId="7649">
      <calculatedColumnFormula>SUM(Tabela2649[#This Row])</calculatedColumnFormula>
    </tableColumn>
    <tableColumn id="4" name="Kolumna4" dataDxfId="7648">
      <calculatedColumnFormula>C170-D170</calculatedColumnFormula>
    </tableColumn>
    <tableColumn id="5" name="Kolumna5" dataDxfId="7647">
      <calculatedColumnFormula>IFERROR(D170/C170,"")</calculatedColumnFormula>
    </tableColumn>
    <tableColumn id="6" name="Kolumna6" dataDxfId="7646"/>
  </tableColumns>
  <tableStyleInfo name="TableStyleLight9" showFirstColumn="0" showLastColumn="0" showRowStripes="1" showColumnStripes="0"/>
</table>
</file>

<file path=xl/tables/table69.xml><?xml version="1.0" encoding="utf-8"?>
<table xmlns="http://schemas.openxmlformats.org/spreadsheetml/2006/main" id="37" name="Tabela1438" displayName="Tabela1438" ref="B182:G191" headerRowCount="0" totalsRowShown="0">
  <tableColumns count="6">
    <tableColumn id="1" name="Kolumna1" dataDxfId="7645">
      <calculatedColumnFormula>'Wzorzec kategorii'!B144</calculatedColumnFormula>
    </tableColumn>
    <tableColumn id="2" name="Kolumna2" dataDxfId="7644"/>
    <tableColumn id="3" name="Kolumna3" dataDxfId="7643">
      <calculatedColumnFormula>SUM(Tabela2750[#This Row])</calculatedColumnFormula>
    </tableColumn>
    <tableColumn id="4" name="Kolumna4" dataDxfId="7642">
      <calculatedColumnFormula>C182-D182</calculatedColumnFormula>
    </tableColumn>
    <tableColumn id="5" name="Kolumna5" dataDxfId="7641">
      <calculatedColumnFormula>IFERROR(D182/C182,"")</calculatedColumnFormula>
    </tableColumn>
    <tableColumn id="6" name="Kolumna6" dataDxfId="7640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9" name="Tabela9" displayName="Tabela9" ref="B99:G102" headerRowCount="0" totalsRowShown="0">
  <tableColumns count="6">
    <tableColumn id="1" name="Kolumna1" headerRowDxfId="8323" dataDxfId="8322"/>
    <tableColumn id="2" name="Kolumna2" dataDxfId="8321"/>
    <tableColumn id="3" name="Kolumna3" dataDxfId="8320">
      <calculatedColumnFormula>SUM(Tabela192125[#This Row])</calculatedColumnFormula>
    </tableColumn>
    <tableColumn id="4" name="Kolumna4" dataDxfId="8319">
      <calculatedColumnFormula>C99-D99</calculatedColumnFormula>
    </tableColumn>
    <tableColumn id="5" name="Kolumna5" dataDxfId="8318">
      <calculatedColumnFormula>IFERROR(D99/C99,"")</calculatedColumnFormula>
    </tableColumn>
    <tableColumn id="6" name="Kolumna6" dataDxfId="8317"/>
  </tableColumns>
  <tableStyleInfo name="TableStyleLight9" showFirstColumn="0" showLastColumn="0" showRowStripes="1" showColumnStripes="0"/>
</table>
</file>

<file path=xl/tables/table70.xml><?xml version="1.0" encoding="utf-8"?>
<table xmlns="http://schemas.openxmlformats.org/spreadsheetml/2006/main" id="38" name="Tabela1539" displayName="Tabela1539" ref="B194:G203" headerRowCount="0" totalsRowShown="0">
  <tableColumns count="6">
    <tableColumn id="1" name="Kolumna1" dataDxfId="7639">
      <calculatedColumnFormula>'Wzorzec kategorii'!B156</calculatedColumnFormula>
    </tableColumn>
    <tableColumn id="2" name="Kolumna2" dataDxfId="7638"/>
    <tableColumn id="3" name="Kolumna3" dataDxfId="7637">
      <calculatedColumnFormula>SUM(Tabela2851[#This Row])</calculatedColumnFormula>
    </tableColumn>
    <tableColumn id="4" name="Kolumna4" dataDxfId="7636">
      <calculatedColumnFormula>C194-D194</calculatedColumnFormula>
    </tableColumn>
    <tableColumn id="5" name="Kolumna5" dataDxfId="7635">
      <calculatedColumnFormula>IFERROR(D194/C194,"")</calculatedColumnFormula>
    </tableColumn>
    <tableColumn id="6" name="Kolumna6" dataDxfId="7634"/>
  </tableColumns>
  <tableStyleInfo name="TableStyleLight9" showFirstColumn="0" showLastColumn="0" showRowStripes="1" showColumnStripes="0"/>
</table>
</file>

<file path=xl/tables/table71.xml><?xml version="1.0" encoding="utf-8"?>
<table xmlns="http://schemas.openxmlformats.org/spreadsheetml/2006/main" id="39" name="Tabela1640" displayName="Tabela1640" ref="B206:G215" headerRowCount="0" totalsRowShown="0">
  <tableColumns count="6">
    <tableColumn id="1" name="Kolumna1" dataDxfId="7633">
      <calculatedColumnFormula>'Wzorzec kategorii'!B168</calculatedColumnFormula>
    </tableColumn>
    <tableColumn id="2" name="Kolumna2" dataDxfId="7632"/>
    <tableColumn id="3" name="Kolumna3" dataDxfId="7631">
      <calculatedColumnFormula>SUM(Tabela192345[#This Row])</calculatedColumnFormula>
    </tableColumn>
    <tableColumn id="4" name="Kolumna4" dataDxfId="7630">
      <calculatedColumnFormula>C206-D206</calculatedColumnFormula>
    </tableColumn>
    <tableColumn id="5" name="Kolumna5" dataDxfId="7629">
      <calculatedColumnFormula>IFERROR(D206/C206,"")</calculatedColumnFormula>
    </tableColumn>
    <tableColumn id="6" name="Kolumna6" dataDxfId="7628"/>
  </tableColumns>
  <tableStyleInfo name="TableStyleLight9" showFirstColumn="0" showLastColumn="0" showRowStripes="1" showColumnStripes="0"/>
</table>
</file>

<file path=xl/tables/table72.xml><?xml version="1.0" encoding="utf-8"?>
<table xmlns="http://schemas.openxmlformats.org/spreadsheetml/2006/main" id="40" name="Tabela1841" displayName="Tabela1841" ref="I85:AM95" totalsRowShown="0" headerRowDxfId="7627" dataDxfId="7625" headerRowBorderDxfId="7626">
  <autoFilter ref="I85:AM9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624"/>
    <tableColumn id="2" name="2" dataDxfId="7623"/>
    <tableColumn id="3" name="3" dataDxfId="7622"/>
    <tableColumn id="4" name="4" dataDxfId="7621"/>
    <tableColumn id="5" name="5" dataDxfId="7620"/>
    <tableColumn id="6" name="6" dataDxfId="7619"/>
    <tableColumn id="7" name="7" dataDxfId="7618"/>
    <tableColumn id="8" name="8" dataDxfId="7617"/>
    <tableColumn id="9" name="9" dataDxfId="7616"/>
    <tableColumn id="10" name="10" dataDxfId="7615"/>
    <tableColumn id="11" name="11" dataDxfId="7614"/>
    <tableColumn id="12" name="12" dataDxfId="7613"/>
    <tableColumn id="13" name="13" dataDxfId="7612"/>
    <tableColumn id="14" name="14" dataDxfId="7611"/>
    <tableColumn id="15" name="15" dataDxfId="7610"/>
    <tableColumn id="16" name="16" dataDxfId="7609"/>
    <tableColumn id="17" name="17" dataDxfId="7608"/>
    <tableColumn id="18" name="18" dataDxfId="7607"/>
    <tableColumn id="19" name="19" dataDxfId="7606"/>
    <tableColumn id="20" name="20" dataDxfId="7605"/>
    <tableColumn id="21" name="21" dataDxfId="7604"/>
    <tableColumn id="22" name="22" dataDxfId="7603"/>
    <tableColumn id="23" name="23" dataDxfId="7602"/>
    <tableColumn id="24" name="24" dataDxfId="7601"/>
    <tableColumn id="25" name="25" dataDxfId="7600"/>
    <tableColumn id="26" name="26" dataDxfId="7599"/>
    <tableColumn id="27" name="27" dataDxfId="7598"/>
    <tableColumn id="28" name="28" dataDxfId="7597"/>
    <tableColumn id="29" name="29" dataDxfId="7596"/>
    <tableColumn id="30" name="30" dataDxfId="7595"/>
    <tableColumn id="31" name="31" dataDxfId="7594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id="41" name="Tabela1942" displayName="Tabela1942" ref="I97:AM107" totalsRowShown="0" headerRowDxfId="7593" dataDxfId="7591" headerRowBorderDxfId="7592">
  <autoFilter ref="I97:AM10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590"/>
    <tableColumn id="2" name="2" dataDxfId="7589"/>
    <tableColumn id="3" name="3" dataDxfId="7588"/>
    <tableColumn id="4" name="4" dataDxfId="7587"/>
    <tableColumn id="5" name="5" dataDxfId="7586"/>
    <tableColumn id="6" name="6" dataDxfId="7585"/>
    <tableColumn id="7" name="7" dataDxfId="7584"/>
    <tableColumn id="8" name="8" dataDxfId="7583"/>
    <tableColumn id="9" name="9" dataDxfId="7582"/>
    <tableColumn id="10" name="10" dataDxfId="7581"/>
    <tableColumn id="11" name="11" dataDxfId="7580"/>
    <tableColumn id="12" name="12" dataDxfId="7579"/>
    <tableColumn id="13" name="13" dataDxfId="7578"/>
    <tableColumn id="14" name="14" dataDxfId="7577"/>
    <tableColumn id="15" name="15" dataDxfId="7576"/>
    <tableColumn id="16" name="16" dataDxfId="7575"/>
    <tableColumn id="17" name="17" dataDxfId="7574"/>
    <tableColumn id="18" name="18" dataDxfId="7573"/>
    <tableColumn id="19" name="19" dataDxfId="7572"/>
    <tableColumn id="20" name="20" dataDxfId="7571"/>
    <tableColumn id="21" name="21" dataDxfId="7570"/>
    <tableColumn id="22" name="22" dataDxfId="7569"/>
    <tableColumn id="23" name="23" dataDxfId="7568"/>
    <tableColumn id="24" name="24" dataDxfId="7567"/>
    <tableColumn id="25" name="25" dataDxfId="7566"/>
    <tableColumn id="26" name="26" dataDxfId="7565"/>
    <tableColumn id="27" name="27" dataDxfId="7564"/>
    <tableColumn id="28" name="28" dataDxfId="7563"/>
    <tableColumn id="29" name="29" dataDxfId="7562"/>
    <tableColumn id="30" name="30" dataDxfId="7561"/>
    <tableColumn id="31" name="31" dataDxfId="7560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id="42" name="Tabela192143" displayName="Tabela192143" ref="I109:AM119" totalsRowShown="0" headerRowDxfId="7559" dataDxfId="7557" headerRowBorderDxfId="7558">
  <autoFilter ref="I109:AM1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556"/>
    <tableColumn id="2" name="2" dataDxfId="7555"/>
    <tableColumn id="3" name="3" dataDxfId="7554"/>
    <tableColumn id="4" name="4" dataDxfId="7553"/>
    <tableColumn id="5" name="5" dataDxfId="7552"/>
    <tableColumn id="6" name="6" dataDxfId="7551"/>
    <tableColumn id="7" name="7" dataDxfId="7550"/>
    <tableColumn id="8" name="8" dataDxfId="7549"/>
    <tableColumn id="9" name="9" dataDxfId="7548"/>
    <tableColumn id="10" name="10" dataDxfId="7547"/>
    <tableColumn id="11" name="11" dataDxfId="7546"/>
    <tableColumn id="12" name="12" dataDxfId="7545"/>
    <tableColumn id="13" name="13" dataDxfId="7544"/>
    <tableColumn id="14" name="14" dataDxfId="7543"/>
    <tableColumn id="15" name="15" dataDxfId="7542"/>
    <tableColumn id="16" name="16" dataDxfId="7541"/>
    <tableColumn id="17" name="17" dataDxfId="7540"/>
    <tableColumn id="18" name="18" dataDxfId="7539"/>
    <tableColumn id="19" name="19" dataDxfId="7538"/>
    <tableColumn id="20" name="20" dataDxfId="7537"/>
    <tableColumn id="21" name="21" dataDxfId="7536"/>
    <tableColumn id="22" name="22" dataDxfId="7535"/>
    <tableColumn id="23" name="23" dataDxfId="7534"/>
    <tableColumn id="24" name="24" dataDxfId="7533"/>
    <tableColumn id="25" name="25" dataDxfId="7532"/>
    <tableColumn id="26" name="26" dataDxfId="7531"/>
    <tableColumn id="27" name="27" dataDxfId="7530"/>
    <tableColumn id="28" name="28" dataDxfId="7529"/>
    <tableColumn id="29" name="29" dataDxfId="7528"/>
    <tableColumn id="30" name="30" dataDxfId="7527"/>
    <tableColumn id="31" name="31" dataDxfId="7526"/>
  </tableColumns>
  <tableStyleInfo name="TableStyleMedium9" showFirstColumn="0" showLastColumn="0" showRowStripes="1" showColumnStripes="0"/>
</table>
</file>

<file path=xl/tables/table75.xml><?xml version="1.0" encoding="utf-8"?>
<table xmlns="http://schemas.openxmlformats.org/spreadsheetml/2006/main" id="43" name="Tabela192244" displayName="Tabela192244" ref="I145:AM155" totalsRowShown="0" headerRowDxfId="7525" dataDxfId="7523" headerRowBorderDxfId="7524">
  <autoFilter ref="I145:AM1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522"/>
    <tableColumn id="2" name="2" dataDxfId="7521"/>
    <tableColumn id="3" name="3" dataDxfId="7520"/>
    <tableColumn id="4" name="4" dataDxfId="7519"/>
    <tableColumn id="5" name="5" dataDxfId="7518"/>
    <tableColumn id="6" name="6" dataDxfId="7517"/>
    <tableColumn id="7" name="7" dataDxfId="7516"/>
    <tableColumn id="8" name="8" dataDxfId="7515"/>
    <tableColumn id="9" name="9" dataDxfId="7514"/>
    <tableColumn id="10" name="10" dataDxfId="7513"/>
    <tableColumn id="11" name="11" dataDxfId="7512"/>
    <tableColumn id="12" name="12" dataDxfId="7511"/>
    <tableColumn id="13" name="13" dataDxfId="7510"/>
    <tableColumn id="14" name="14" dataDxfId="7509"/>
    <tableColumn id="15" name="15" dataDxfId="7508"/>
    <tableColumn id="16" name="16" dataDxfId="7507"/>
    <tableColumn id="17" name="17" dataDxfId="7506"/>
    <tableColumn id="18" name="18" dataDxfId="7505"/>
    <tableColumn id="19" name="19" dataDxfId="7504"/>
    <tableColumn id="20" name="20" dataDxfId="7503"/>
    <tableColumn id="21" name="21" dataDxfId="7502"/>
    <tableColumn id="22" name="22" dataDxfId="7501"/>
    <tableColumn id="23" name="23" dataDxfId="7500"/>
    <tableColumn id="24" name="24" dataDxfId="7499"/>
    <tableColumn id="25" name="25" dataDxfId="7498"/>
    <tableColumn id="26" name="26" dataDxfId="7497"/>
    <tableColumn id="27" name="27" dataDxfId="7496"/>
    <tableColumn id="28" name="28" dataDxfId="7495"/>
    <tableColumn id="29" name="29" dataDxfId="7494"/>
    <tableColumn id="30" name="30" dataDxfId="7493"/>
    <tableColumn id="31" name="31" dataDxfId="7492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id="44" name="Tabela192345" displayName="Tabela192345" ref="I205:AM215" totalsRowShown="0" headerRowDxfId="7491" dataDxfId="7489" headerRowBorderDxfId="7490">
  <autoFilter ref="I205:AM2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488"/>
    <tableColumn id="2" name="2" dataDxfId="7487"/>
    <tableColumn id="3" name="3" dataDxfId="7486"/>
    <tableColumn id="4" name="4" dataDxfId="7485"/>
    <tableColumn id="5" name="5" dataDxfId="7484"/>
    <tableColumn id="6" name="6" dataDxfId="7483"/>
    <tableColumn id="7" name="7" dataDxfId="7482"/>
    <tableColumn id="8" name="8" dataDxfId="7481"/>
    <tableColumn id="9" name="9" dataDxfId="7480"/>
    <tableColumn id="10" name="10" dataDxfId="7479"/>
    <tableColumn id="11" name="11" dataDxfId="7478"/>
    <tableColumn id="12" name="12" dataDxfId="7477"/>
    <tableColumn id="13" name="13" dataDxfId="7476"/>
    <tableColumn id="14" name="14" dataDxfId="7475"/>
    <tableColumn id="15" name="15" dataDxfId="7474"/>
    <tableColumn id="16" name="16" dataDxfId="7473"/>
    <tableColumn id="17" name="17" dataDxfId="7472"/>
    <tableColumn id="18" name="18" dataDxfId="7471"/>
    <tableColumn id="19" name="19" dataDxfId="7470"/>
    <tableColumn id="20" name="20" dataDxfId="7469"/>
    <tableColumn id="21" name="21" dataDxfId="7468"/>
    <tableColumn id="22" name="22" dataDxfId="7467"/>
    <tableColumn id="23" name="23" dataDxfId="7466"/>
    <tableColumn id="24" name="24" dataDxfId="7465"/>
    <tableColumn id="25" name="25" dataDxfId="7464"/>
    <tableColumn id="26" name="26" dataDxfId="7463"/>
    <tableColumn id="27" name="27" dataDxfId="7462"/>
    <tableColumn id="28" name="28" dataDxfId="7461"/>
    <tableColumn id="29" name="29" dataDxfId="7460"/>
    <tableColumn id="30" name="30" dataDxfId="7459"/>
    <tableColumn id="31" name="31" dataDxfId="7458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id="45" name="Tabela19212446" displayName="Tabela19212446" ref="I133:AM143" totalsRowShown="0" headerRowDxfId="7457" dataDxfId="7455" headerRowBorderDxfId="7456">
  <autoFilter ref="I133:AM1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454"/>
    <tableColumn id="2" name="2" dataDxfId="7453"/>
    <tableColumn id="3" name="3" dataDxfId="7452"/>
    <tableColumn id="4" name="4" dataDxfId="7451"/>
    <tableColumn id="5" name="5" dataDxfId="7450"/>
    <tableColumn id="6" name="6" dataDxfId="7449"/>
    <tableColumn id="7" name="7" dataDxfId="7448"/>
    <tableColumn id="8" name="8" dataDxfId="7447"/>
    <tableColumn id="9" name="9" dataDxfId="7446"/>
    <tableColumn id="10" name="10" dataDxfId="7445"/>
    <tableColumn id="11" name="11" dataDxfId="7444"/>
    <tableColumn id="12" name="12" dataDxfId="7443"/>
    <tableColumn id="13" name="13" dataDxfId="7442"/>
    <tableColumn id="14" name="14" dataDxfId="7441"/>
    <tableColumn id="15" name="15" dataDxfId="7440"/>
    <tableColumn id="16" name="16" dataDxfId="7439"/>
    <tableColumn id="17" name="17" dataDxfId="7438"/>
    <tableColumn id="18" name="18" dataDxfId="7437"/>
    <tableColumn id="19" name="19" dataDxfId="7436"/>
    <tableColumn id="20" name="20" dataDxfId="7435"/>
    <tableColumn id="21" name="21" dataDxfId="7434"/>
    <tableColumn id="22" name="22" dataDxfId="7433"/>
    <tableColumn id="23" name="23" dataDxfId="7432"/>
    <tableColumn id="24" name="24" dataDxfId="7431"/>
    <tableColumn id="25" name="25" dataDxfId="7430"/>
    <tableColumn id="26" name="26" dataDxfId="7429"/>
    <tableColumn id="27" name="27" dataDxfId="7428"/>
    <tableColumn id="28" name="28" dataDxfId="7427"/>
    <tableColumn id="29" name="29" dataDxfId="7426"/>
    <tableColumn id="30" name="30" dataDxfId="7425"/>
    <tableColumn id="31" name="31" dataDxfId="7424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id="46" name="Tabela19212547" displayName="Tabela19212547" ref="I121:AM131" totalsRowShown="0" headerRowDxfId="7423" dataDxfId="7421" headerRowBorderDxfId="7422">
  <autoFilter ref="I121:AM1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420"/>
    <tableColumn id="2" name="2" dataDxfId="7419"/>
    <tableColumn id="3" name="3" dataDxfId="7418"/>
    <tableColumn id="4" name="4" dataDxfId="7417"/>
    <tableColumn id="5" name="5" dataDxfId="7416"/>
    <tableColumn id="6" name="6" dataDxfId="7415"/>
    <tableColumn id="7" name="7" dataDxfId="7414"/>
    <tableColumn id="8" name="8" dataDxfId="7413"/>
    <tableColumn id="9" name="9" dataDxfId="7412"/>
    <tableColumn id="10" name="10" dataDxfId="7411"/>
    <tableColumn id="11" name="11" dataDxfId="7410"/>
    <tableColumn id="12" name="12" dataDxfId="7409"/>
    <tableColumn id="13" name="13" dataDxfId="7408"/>
    <tableColumn id="14" name="14" dataDxfId="7407"/>
    <tableColumn id="15" name="15" dataDxfId="7406"/>
    <tableColumn id="16" name="16" dataDxfId="7405"/>
    <tableColumn id="17" name="17" dataDxfId="7404"/>
    <tableColumn id="18" name="18" dataDxfId="7403"/>
    <tableColumn id="19" name="19" dataDxfId="7402"/>
    <tableColumn id="20" name="20" dataDxfId="7401"/>
    <tableColumn id="21" name="21" dataDxfId="7400"/>
    <tableColumn id="22" name="22" dataDxfId="7399"/>
    <tableColumn id="23" name="23" dataDxfId="7398"/>
    <tableColumn id="24" name="24" dataDxfId="7397"/>
    <tableColumn id="25" name="25" dataDxfId="7396"/>
    <tableColumn id="26" name="26" dataDxfId="7395"/>
    <tableColumn id="27" name="27" dataDxfId="7394"/>
    <tableColumn id="28" name="28" dataDxfId="7393"/>
    <tableColumn id="29" name="29" dataDxfId="7392"/>
    <tableColumn id="30" name="30" dataDxfId="7391"/>
    <tableColumn id="31" name="31" dataDxfId="7390"/>
  </tableColumns>
  <tableStyleInfo name="TableStyleMedium9" showFirstColumn="0" showLastColumn="0" showRowStripes="1" showColumnStripes="0"/>
</table>
</file>

<file path=xl/tables/table79.xml><?xml version="1.0" encoding="utf-8"?>
<table xmlns="http://schemas.openxmlformats.org/spreadsheetml/2006/main" id="47" name="Tabela2548" displayName="Tabela2548" ref="I157:AM167" totalsRowShown="0" headerRowDxfId="7389" dataDxfId="7388">
  <autoFilter ref="I157:AM1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387"/>
    <tableColumn id="2" name="2" dataDxfId="7386"/>
    <tableColumn id="3" name="3" dataDxfId="7385"/>
    <tableColumn id="4" name="4" dataDxfId="7384"/>
    <tableColumn id="5" name="5" dataDxfId="7383"/>
    <tableColumn id="6" name="6" dataDxfId="7382"/>
    <tableColumn id="7" name="7" dataDxfId="7381"/>
    <tableColumn id="8" name="8" dataDxfId="7380"/>
    <tableColumn id="9" name="9" dataDxfId="7379"/>
    <tableColumn id="10" name="10" dataDxfId="7378"/>
    <tableColumn id="11" name="11" dataDxfId="7377"/>
    <tableColumn id="12" name="12" dataDxfId="7376"/>
    <tableColumn id="13" name="13" dataDxfId="7375"/>
    <tableColumn id="14" name="14" dataDxfId="7374"/>
    <tableColumn id="15" name="15" dataDxfId="7373"/>
    <tableColumn id="16" name="16" dataDxfId="7372"/>
    <tableColumn id="17" name="17" dataDxfId="7371"/>
    <tableColumn id="18" name="18" dataDxfId="7370"/>
    <tableColumn id="19" name="19" dataDxfId="7369"/>
    <tableColumn id="20" name="20" dataDxfId="7368"/>
    <tableColumn id="21" name="21" dataDxfId="7367"/>
    <tableColumn id="22" name="22" dataDxfId="7366"/>
    <tableColumn id="23" name="23" dataDxfId="7365"/>
    <tableColumn id="24" name="24" dataDxfId="7364"/>
    <tableColumn id="25" name="25" dataDxfId="7363"/>
    <tableColumn id="26" name="26" dataDxfId="7362"/>
    <tableColumn id="27" name="27" dataDxfId="7361"/>
    <tableColumn id="28" name="28" dataDxfId="7360"/>
    <tableColumn id="29" name="29" dataDxfId="7359"/>
    <tableColumn id="30" name="30" dataDxfId="7358"/>
    <tableColumn id="31" name="31" dataDxfId="7357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10" name="Tabela10" displayName="Tabela10" ref="B105:G109" headerRowCount="0" totalsRowShown="0">
  <tableColumns count="6">
    <tableColumn id="1" name="Kolumna1" headerRowDxfId="8316" dataDxfId="8315"/>
    <tableColumn id="2" name="Kolumna2" dataDxfId="8314"/>
    <tableColumn id="3" name="Kolumna3" dataDxfId="8313">
      <calculatedColumnFormula>SUM(Tabela192124[#This Row])</calculatedColumnFormula>
    </tableColumn>
    <tableColumn id="4" name="Kolumna4" dataDxfId="8312">
      <calculatedColumnFormula>C105-D105</calculatedColumnFormula>
    </tableColumn>
    <tableColumn id="5" name="Kolumna5" dataDxfId="8311">
      <calculatedColumnFormula>IFERROR(D105/C105,"")</calculatedColumnFormula>
    </tableColumn>
    <tableColumn id="6" name="Kolumna6" dataDxfId="8310"/>
  </tableColumns>
  <tableStyleInfo name="TableStyleLight9" showFirstColumn="0" showLastColumn="0" showRowStripes="1" showColumnStripes="0"/>
</table>
</file>

<file path=xl/tables/table80.xml><?xml version="1.0" encoding="utf-8"?>
<table xmlns="http://schemas.openxmlformats.org/spreadsheetml/2006/main" id="48" name="Tabela2649" displayName="Tabela2649" ref="I169:AM179" totalsRowShown="0" headerRowDxfId="7356" headerRowBorderDxfId="7355">
  <autoFilter ref="I169:AM1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354"/>
    <tableColumn id="2" name="2" dataDxfId="7353"/>
    <tableColumn id="3" name="3" dataDxfId="7352"/>
    <tableColumn id="4" name="4" dataDxfId="7351"/>
    <tableColumn id="5" name="5" dataDxfId="7350"/>
    <tableColumn id="6" name="6" dataDxfId="7349"/>
    <tableColumn id="7" name="7" dataDxfId="7348"/>
    <tableColumn id="8" name="8" dataDxfId="7347"/>
    <tableColumn id="9" name="9" dataDxfId="7346"/>
    <tableColumn id="10" name="10" dataDxfId="7345"/>
    <tableColumn id="11" name="11" dataDxfId="7344"/>
    <tableColumn id="12" name="12" dataDxfId="7343"/>
    <tableColumn id="13" name="13" dataDxfId="7342"/>
    <tableColumn id="14" name="14" dataDxfId="7341"/>
    <tableColumn id="15" name="15" dataDxfId="7340"/>
    <tableColumn id="16" name="16" dataDxfId="7339"/>
    <tableColumn id="17" name="17" dataDxfId="7338"/>
    <tableColumn id="18" name="18" dataDxfId="7337"/>
    <tableColumn id="19" name="19" dataDxfId="7336"/>
    <tableColumn id="20" name="20" dataDxfId="7335"/>
    <tableColumn id="21" name="21" dataDxfId="7334"/>
    <tableColumn id="22" name="22" dataDxfId="7333"/>
    <tableColumn id="23" name="23" dataDxfId="7332"/>
    <tableColumn id="24" name="24" dataDxfId="7331"/>
    <tableColumn id="25" name="25" dataDxfId="7330"/>
    <tableColumn id="26" name="26" dataDxfId="7329"/>
    <tableColumn id="27" name="27" dataDxfId="7328"/>
    <tableColumn id="28" name="28" dataDxfId="7327"/>
    <tableColumn id="29" name="29" dataDxfId="7326"/>
    <tableColumn id="30" name="30" dataDxfId="7325"/>
    <tableColumn id="31" name="31" dataDxfId="7324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id="49" name="Tabela2750" displayName="Tabela2750" ref="I181:AM191" totalsRowShown="0" headerRowDxfId="7323">
  <autoFilter ref="I181:AM19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322"/>
    <tableColumn id="2" name="2" dataDxfId="7321"/>
    <tableColumn id="3" name="3" dataDxfId="7320"/>
    <tableColumn id="4" name="4" dataDxfId="7319"/>
    <tableColumn id="5" name="5" dataDxfId="7318"/>
    <tableColumn id="6" name="6" dataDxfId="7317"/>
    <tableColumn id="7" name="7" dataDxfId="7316"/>
    <tableColumn id="8" name="8" dataDxfId="7315"/>
    <tableColumn id="9" name="9" dataDxfId="7314"/>
    <tableColumn id="10" name="10" dataDxfId="7313"/>
    <tableColumn id="11" name="11" dataDxfId="7312"/>
    <tableColumn id="12" name="12" dataDxfId="7311"/>
    <tableColumn id="13" name="13" dataDxfId="7310"/>
    <tableColumn id="14" name="14" dataDxfId="7309"/>
    <tableColumn id="15" name="15" dataDxfId="7308"/>
    <tableColumn id="16" name="16" dataDxfId="7307"/>
    <tableColumn id="17" name="17" dataDxfId="7306"/>
    <tableColumn id="18" name="18" dataDxfId="7305"/>
    <tableColumn id="19" name="19" dataDxfId="7304"/>
    <tableColumn id="20" name="20" dataDxfId="7303"/>
    <tableColumn id="21" name="21" dataDxfId="7302"/>
    <tableColumn id="22" name="22" dataDxfId="7301"/>
    <tableColumn id="23" name="23" dataDxfId="7300"/>
    <tableColumn id="24" name="24" dataDxfId="7299"/>
    <tableColumn id="25" name="25" dataDxfId="7298"/>
    <tableColumn id="26" name="26" dataDxfId="7297"/>
    <tableColumn id="27" name="27" dataDxfId="7296"/>
    <tableColumn id="28" name="28" dataDxfId="7295"/>
    <tableColumn id="29" name="29" dataDxfId="7294"/>
    <tableColumn id="30" name="30" dataDxfId="7293"/>
    <tableColumn id="31" name="31" dataDxfId="7292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id="50" name="Tabela2851" displayName="Tabela2851" ref="I193:AM203" totalsRowShown="0" headerRowDxfId="7291" dataDxfId="7289" headerRowBorderDxfId="7290">
  <autoFilter ref="I193:AM20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288"/>
    <tableColumn id="2" name="2" dataDxfId="7287"/>
    <tableColumn id="3" name="3" dataDxfId="7286"/>
    <tableColumn id="4" name="4" dataDxfId="7285"/>
    <tableColumn id="5" name="5" dataDxfId="7284"/>
    <tableColumn id="6" name="6" dataDxfId="7283"/>
    <tableColumn id="7" name="7" dataDxfId="7282"/>
    <tableColumn id="8" name="8" dataDxfId="7281"/>
    <tableColumn id="9" name="9" dataDxfId="7280"/>
    <tableColumn id="10" name="10" dataDxfId="7279"/>
    <tableColumn id="11" name="11" dataDxfId="7278"/>
    <tableColumn id="12" name="12" dataDxfId="7277"/>
    <tableColumn id="13" name="13" dataDxfId="7276"/>
    <tableColumn id="14" name="14" dataDxfId="7275"/>
    <tableColumn id="15" name="15" dataDxfId="7274"/>
    <tableColumn id="16" name="16" dataDxfId="7273"/>
    <tableColumn id="17" name="17" dataDxfId="7272"/>
    <tableColumn id="18" name="18" dataDxfId="7271"/>
    <tableColumn id="19" name="19" dataDxfId="7270"/>
    <tableColumn id="20" name="20" dataDxfId="7269"/>
    <tableColumn id="21" name="21" dataDxfId="7268"/>
    <tableColumn id="22" name="22" dataDxfId="7267"/>
    <tableColumn id="23" name="23" dataDxfId="7266"/>
    <tableColumn id="24" name="24" dataDxfId="7265"/>
    <tableColumn id="25" name="25" dataDxfId="7264"/>
    <tableColumn id="26" name="26" dataDxfId="7263"/>
    <tableColumn id="27" name="27" dataDxfId="7262"/>
    <tableColumn id="28" name="28" dataDxfId="7261"/>
    <tableColumn id="29" name="29" dataDxfId="7260"/>
    <tableColumn id="30" name="30" dataDxfId="7259"/>
    <tableColumn id="31" name="31" dataDxfId="7258"/>
  </tableColumns>
  <tableStyleInfo name="TableStyleMedium9" showFirstColumn="0" showLastColumn="0" showRowStripes="1" showColumnStripes="0"/>
</table>
</file>

<file path=xl/tables/table83.xml><?xml version="1.0" encoding="utf-8"?>
<table xmlns="http://schemas.openxmlformats.org/spreadsheetml/2006/main" id="57" name="Tabela164058" displayName="Tabela164058" ref="B218:G227" headerRowCount="0" totalsRowShown="0">
  <tableColumns count="6">
    <tableColumn id="1" name="Kolumna1" dataDxfId="7257">
      <calculatedColumnFormula>'Wzorzec kategorii'!B180</calculatedColumnFormula>
    </tableColumn>
    <tableColumn id="2" name="Kolumna2" dataDxfId="7256"/>
    <tableColumn id="3" name="Kolumna3" dataDxfId="7255">
      <calculatedColumnFormula>SUM(Tabela19234559[#This Row])</calculatedColumnFormula>
    </tableColumn>
    <tableColumn id="4" name="Kolumna4" dataDxfId="7254">
      <calculatedColumnFormula>C218-D218</calculatedColumnFormula>
    </tableColumn>
    <tableColumn id="5" name="Kolumna5" dataDxfId="7253">
      <calculatedColumnFormula>IFERROR(D218/C218,"")</calculatedColumnFormula>
    </tableColumn>
    <tableColumn id="6" name="Kolumna6" dataDxfId="7252"/>
  </tableColumns>
  <tableStyleInfo name="TableStyleLight9" showFirstColumn="0" showLastColumn="0" showRowStripes="1" showColumnStripes="0"/>
</table>
</file>

<file path=xl/tables/table84.xml><?xml version="1.0" encoding="utf-8"?>
<table xmlns="http://schemas.openxmlformats.org/spreadsheetml/2006/main" id="58" name="Tabela19234559" displayName="Tabela19234559" ref="I217:AM227" totalsRowShown="0" headerRowDxfId="7251" dataDxfId="7249" headerRowBorderDxfId="7250">
  <autoFilter ref="I217:AM2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248"/>
    <tableColumn id="2" name="2" dataDxfId="7247"/>
    <tableColumn id="3" name="3" dataDxfId="7246"/>
    <tableColumn id="4" name="4" dataDxfId="7245"/>
    <tableColumn id="5" name="5" dataDxfId="7244"/>
    <tableColumn id="6" name="6" dataDxfId="7243"/>
    <tableColumn id="7" name="7" dataDxfId="7242"/>
    <tableColumn id="8" name="8" dataDxfId="7241"/>
    <tableColumn id="9" name="9" dataDxfId="7240"/>
    <tableColumn id="10" name="10" dataDxfId="7239"/>
    <tableColumn id="11" name="11" dataDxfId="7238"/>
    <tableColumn id="12" name="12" dataDxfId="7237"/>
    <tableColumn id="13" name="13" dataDxfId="7236"/>
    <tableColumn id="14" name="14" dataDxfId="7235"/>
    <tableColumn id="15" name="15" dataDxfId="7234"/>
    <tableColumn id="16" name="16" dataDxfId="7233"/>
    <tableColumn id="17" name="17" dataDxfId="7232"/>
    <tableColumn id="18" name="18" dataDxfId="7231"/>
    <tableColumn id="19" name="19" dataDxfId="7230"/>
    <tableColumn id="20" name="20" dataDxfId="7229"/>
    <tableColumn id="21" name="21" dataDxfId="7228"/>
    <tableColumn id="22" name="22" dataDxfId="7227"/>
    <tableColumn id="23" name="23" dataDxfId="7226"/>
    <tableColumn id="24" name="24" dataDxfId="7225"/>
    <tableColumn id="25" name="25" dataDxfId="7224"/>
    <tableColumn id="26" name="26" dataDxfId="7223"/>
    <tableColumn id="27" name="27" dataDxfId="7222"/>
    <tableColumn id="28" name="28" dataDxfId="7221"/>
    <tableColumn id="29" name="29" dataDxfId="7220"/>
    <tableColumn id="30" name="30" dataDxfId="7219"/>
    <tableColumn id="31" name="31" dataDxfId="7218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id="59" name="Tabela16405860" displayName="Tabela16405860" ref="B230:G239" headerRowCount="0" totalsRowShown="0">
  <tableColumns count="6">
    <tableColumn id="1" name="Kolumna1" dataDxfId="7217">
      <calculatedColumnFormula>'Wzorzec kategorii'!B192</calculatedColumnFormula>
    </tableColumn>
    <tableColumn id="2" name="Kolumna2" dataDxfId="7216"/>
    <tableColumn id="3" name="Kolumna3" dataDxfId="7215">
      <calculatedColumnFormula>SUM(Tabela1923455962[#This Row])</calculatedColumnFormula>
    </tableColumn>
    <tableColumn id="4" name="Kolumna4" dataDxfId="7214">
      <calculatedColumnFormula>C230-D230</calculatedColumnFormula>
    </tableColumn>
    <tableColumn id="5" name="Kolumna5" dataDxfId="7213">
      <calculatedColumnFormula>IFERROR(D230/C230,"")</calculatedColumnFormula>
    </tableColumn>
    <tableColumn id="6" name="Kolumna6" dataDxfId="7212"/>
  </tableColumns>
  <tableStyleInfo name="TableStyleLight9" showFirstColumn="0" showLastColumn="0" showRowStripes="1" showColumnStripes="0"/>
</table>
</file>

<file path=xl/tables/table86.xml><?xml version="1.0" encoding="utf-8"?>
<table xmlns="http://schemas.openxmlformats.org/spreadsheetml/2006/main" id="60" name="Tabela1640586061" displayName="Tabela1640586061" ref="B242:G251" headerRowCount="0" totalsRowShown="0">
  <tableColumns count="6">
    <tableColumn id="1" name="Kolumna1" dataDxfId="7211">
      <calculatedColumnFormula>'Wzorzec kategorii'!B204</calculatedColumnFormula>
    </tableColumn>
    <tableColumn id="2" name="Kolumna2" dataDxfId="7210"/>
    <tableColumn id="3" name="Kolumna3" dataDxfId="7209">
      <calculatedColumnFormula>SUM(Tabela1923455963[#This Row])</calculatedColumnFormula>
    </tableColumn>
    <tableColumn id="4" name="Kolumna4" dataDxfId="7208">
      <calculatedColumnFormula>C242-D242</calculatedColumnFormula>
    </tableColumn>
    <tableColumn id="5" name="Kolumna5" dataDxfId="7207">
      <calculatedColumnFormula>IFERROR(D242/C242,"")</calculatedColumnFormula>
    </tableColumn>
    <tableColumn id="6" name="Kolumna6" dataDxfId="7206"/>
  </tableColumns>
  <tableStyleInfo name="TableStyleLight9" showFirstColumn="0" showLastColumn="0" showRowStripes="1" showColumnStripes="0"/>
</table>
</file>

<file path=xl/tables/table87.xml><?xml version="1.0" encoding="utf-8"?>
<table xmlns="http://schemas.openxmlformats.org/spreadsheetml/2006/main" id="61" name="Tabela1923455962" displayName="Tabela1923455962" ref="I229:AM239" totalsRowShown="0" headerRowDxfId="7205" dataDxfId="7203" headerRowBorderDxfId="7204">
  <autoFilter ref="I229:AM2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202"/>
    <tableColumn id="2" name="2" dataDxfId="7201"/>
    <tableColumn id="3" name="3" dataDxfId="7200"/>
    <tableColumn id="4" name="4" dataDxfId="7199"/>
    <tableColumn id="5" name="5" dataDxfId="7198"/>
    <tableColumn id="6" name="6" dataDxfId="7197"/>
    <tableColumn id="7" name="7" dataDxfId="7196"/>
    <tableColumn id="8" name="8" dataDxfId="7195"/>
    <tableColumn id="9" name="9" dataDxfId="7194"/>
    <tableColumn id="10" name="10" dataDxfId="7193"/>
    <tableColumn id="11" name="11" dataDxfId="7192"/>
    <tableColumn id="12" name="12" dataDxfId="7191"/>
    <tableColumn id="13" name="13" dataDxfId="7190"/>
    <tableColumn id="14" name="14" dataDxfId="7189"/>
    <tableColumn id="15" name="15" dataDxfId="7188"/>
    <tableColumn id="16" name="16" dataDxfId="7187"/>
    <tableColumn id="17" name="17" dataDxfId="7186"/>
    <tableColumn id="18" name="18" dataDxfId="7185"/>
    <tableColumn id="19" name="19" dataDxfId="7184"/>
    <tableColumn id="20" name="20" dataDxfId="7183"/>
    <tableColumn id="21" name="21" dataDxfId="7182"/>
    <tableColumn id="22" name="22" dataDxfId="7181"/>
    <tableColumn id="23" name="23" dataDxfId="7180"/>
    <tableColumn id="24" name="24" dataDxfId="7179"/>
    <tableColumn id="25" name="25" dataDxfId="7178"/>
    <tableColumn id="26" name="26" dataDxfId="7177"/>
    <tableColumn id="27" name="27" dataDxfId="7176"/>
    <tableColumn id="28" name="28" dataDxfId="7175"/>
    <tableColumn id="29" name="29" dataDxfId="7174"/>
    <tableColumn id="30" name="30" dataDxfId="7173"/>
    <tableColumn id="31" name="31" dataDxfId="7172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id="62" name="Tabela1923455963" displayName="Tabela1923455963" ref="I241:AM251" totalsRowShown="0" headerRowDxfId="7171" dataDxfId="7169" headerRowBorderDxfId="7170">
  <autoFilter ref="I241:AM25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168"/>
    <tableColumn id="2" name="2" dataDxfId="7167"/>
    <tableColumn id="3" name="3" dataDxfId="7166"/>
    <tableColumn id="4" name="4" dataDxfId="7165"/>
    <tableColumn id="5" name="5" dataDxfId="7164"/>
    <tableColumn id="6" name="6" dataDxfId="7163"/>
    <tableColumn id="7" name="7" dataDxfId="7162"/>
    <tableColumn id="8" name="8" dataDxfId="7161"/>
    <tableColumn id="9" name="9" dataDxfId="7160"/>
    <tableColumn id="10" name="10" dataDxfId="7159"/>
    <tableColumn id="11" name="11" dataDxfId="7158"/>
    <tableColumn id="12" name="12" dataDxfId="7157"/>
    <tableColumn id="13" name="13" dataDxfId="7156"/>
    <tableColumn id="14" name="14" dataDxfId="7155"/>
    <tableColumn id="15" name="15" dataDxfId="7154"/>
    <tableColumn id="16" name="16" dataDxfId="7153"/>
    <tableColumn id="17" name="17" dataDxfId="7152"/>
    <tableColumn id="18" name="18" dataDxfId="7151"/>
    <tableColumn id="19" name="19" dataDxfId="7150"/>
    <tableColumn id="20" name="20" dataDxfId="7149"/>
    <tableColumn id="21" name="21" dataDxfId="7148"/>
    <tableColumn id="22" name="22" dataDxfId="7147"/>
    <tableColumn id="23" name="23" dataDxfId="7146"/>
    <tableColumn id="24" name="24" dataDxfId="7145"/>
    <tableColumn id="25" name="25" dataDxfId="7144"/>
    <tableColumn id="26" name="26" dataDxfId="7143"/>
    <tableColumn id="27" name="27" dataDxfId="7142"/>
    <tableColumn id="28" name="28" dataDxfId="7141"/>
    <tableColumn id="29" name="29" dataDxfId="7140"/>
    <tableColumn id="30" name="30" dataDxfId="7139"/>
    <tableColumn id="31" name="31" dataDxfId="7138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id="63" name="Tabela33064" displayName="Tabela33064" ref="I51:AM66" totalsRowShown="0" headerRowDxfId="7137">
  <autoFilter ref="I51:AM6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136"/>
    <tableColumn id="2" name="2" dataDxfId="7135"/>
    <tableColumn id="3" name="3" dataDxfId="7134"/>
    <tableColumn id="4" name="4" dataDxfId="7133"/>
    <tableColumn id="5" name="5" dataDxfId="7132"/>
    <tableColumn id="6" name="6" dataDxfId="7131"/>
    <tableColumn id="7" name="7" dataDxfId="7130"/>
    <tableColumn id="8" name="8" dataDxfId="7129"/>
    <tableColumn id="9" name="9" dataDxfId="7128"/>
    <tableColumn id="10" name="10" dataDxfId="7127"/>
    <tableColumn id="11" name="11" dataDxfId="7126"/>
    <tableColumn id="12" name="12" dataDxfId="7125"/>
    <tableColumn id="13" name="13" dataDxfId="7124"/>
    <tableColumn id="14" name="14" dataDxfId="7123"/>
    <tableColumn id="15" name="15" dataDxfId="7122"/>
    <tableColumn id="16" name="16" dataDxfId="7121"/>
    <tableColumn id="17" name="17" dataDxfId="7120"/>
    <tableColumn id="18" name="18" dataDxfId="7119"/>
    <tableColumn id="19" name="19" dataDxfId="7118"/>
    <tableColumn id="20" name="20" dataDxfId="7117"/>
    <tableColumn id="21" name="21" dataDxfId="7116"/>
    <tableColumn id="22" name="22" dataDxfId="7115"/>
    <tableColumn id="23" name="23" dataDxfId="7114"/>
    <tableColumn id="24" name="24" dataDxfId="7113"/>
    <tableColumn id="25" name="25" dataDxfId="7112"/>
    <tableColumn id="26" name="26" dataDxfId="7111"/>
    <tableColumn id="27" name="27" dataDxfId="7110"/>
    <tableColumn id="28" name="28" dataDxfId="7109"/>
    <tableColumn id="29" name="29" dataDxfId="7108"/>
    <tableColumn id="30" name="30" dataDxfId="7107"/>
    <tableColumn id="31" name="31" dataDxfId="7106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11" name="Tabela11" displayName="Tabela11" ref="B112:G116" headerRowCount="0" totalsRowShown="0">
  <tableColumns count="6">
    <tableColumn id="1" name="Kolumna1" dataDxfId="8309"/>
    <tableColumn id="2" name="Kolumna2" dataDxfId="8308"/>
    <tableColumn id="3" name="Kolumna3" dataDxfId="8307">
      <calculatedColumnFormula>SUM(Tabela1922[#This Row])</calculatedColumnFormula>
    </tableColumn>
    <tableColumn id="4" name="Kolumna4" dataDxfId="8306">
      <calculatedColumnFormula>C112-D112</calculatedColumnFormula>
    </tableColumn>
    <tableColumn id="5" name="Kolumna5" dataDxfId="8305">
      <calculatedColumnFormula>IFERROR(D112/C112,"")</calculatedColumnFormula>
    </tableColumn>
    <tableColumn id="6" name="Kolumna6" dataDxfId="8304"/>
  </tableColumns>
  <tableStyleInfo name="TableStyleLight9" showFirstColumn="0" showLastColumn="0" showRowStripes="1" showColumnStripes="0"/>
</table>
</file>

<file path=xl/tables/table90.xml><?xml version="1.0" encoding="utf-8"?>
<table xmlns="http://schemas.openxmlformats.org/spreadsheetml/2006/main" id="64" name="Jedzenie265" displayName="Jedzenie265" ref="B74:G83" headerRowCount="0" totalsRowShown="0" headerRowDxfId="7105" dataDxfId="7104">
  <tableColumns count="6">
    <tableColumn id="1" name="Kategoria" dataDxfId="7103">
      <calculatedColumnFormula>'Wzorzec kategorii'!B36</calculatedColumnFormula>
    </tableColumn>
    <tableColumn id="2" name="0" headerRowDxfId="7102" dataDxfId="7101"/>
    <tableColumn id="3" name="02" headerRowDxfId="7100" dataDxfId="7099">
      <calculatedColumnFormula>SUM(Tabela33068[#This Row])</calculatedColumnFormula>
    </tableColumn>
    <tableColumn id="4" name="Kolumna4" dataDxfId="7098">
      <calculatedColumnFormula>C74-D74</calculatedColumnFormula>
    </tableColumn>
    <tableColumn id="5" name="Kolumna1" dataDxfId="7097">
      <calculatedColumnFormula>IFERROR(D74/C74,"")</calculatedColumnFormula>
    </tableColumn>
    <tableColumn id="6" name="Kolumna2" dataDxfId="7096"/>
  </tableColumns>
  <tableStyleInfo name="TableStyleLight9" showFirstColumn="0" showLastColumn="0" showRowStripes="1" showColumnStripes="0"/>
</table>
</file>

<file path=xl/tables/table91.xml><?xml version="1.0" encoding="utf-8"?>
<table xmlns="http://schemas.openxmlformats.org/spreadsheetml/2006/main" id="65" name="Transport366" displayName="Transport366" ref="B98:G107" headerRowCount="0" totalsRowShown="0">
  <tableColumns count="6">
    <tableColumn id="1" name="Kolumna1" dataDxfId="7095">
      <calculatedColumnFormula>'Wzorzec kategorii'!B60</calculatedColumnFormula>
    </tableColumn>
    <tableColumn id="2" name="Kolumna2" dataDxfId="7094"/>
    <tableColumn id="3" name="Kolumna3" dataDxfId="7093">
      <calculatedColumnFormula>SUM(Tabela194280[#This Row])</calculatedColumnFormula>
    </tableColumn>
    <tableColumn id="4" name="Kolumna4" dataDxfId="7092">
      <calculatedColumnFormula>C98-D98</calculatedColumnFormula>
    </tableColumn>
    <tableColumn id="5" name="Kolumna5" dataDxfId="7091">
      <calculatedColumnFormula>IFERROR(D98/C98,"")</calculatedColumnFormula>
    </tableColumn>
    <tableColumn id="6" name="Kolumna6" dataDxfId="7090"/>
  </tableColumns>
  <tableStyleInfo name="TableStyleLight9" showFirstColumn="0" showLastColumn="0" showRowStripes="1" showColumnStripes="0"/>
</table>
</file>

<file path=xl/tables/table92.xml><?xml version="1.0" encoding="utf-8"?>
<table xmlns="http://schemas.openxmlformats.org/spreadsheetml/2006/main" id="66" name="Tabela71867" displayName="Tabela71867" ref="B52:G66" headerRowCount="0" totalsRowShown="0" headerRowDxfId="7089" dataDxfId="7088">
  <tableColumns count="6">
    <tableColumn id="1" name="Kolumna1" dataDxfId="7087">
      <calculatedColumnFormula>'Wzorzec kategorii'!B15</calculatedColumnFormula>
    </tableColumn>
    <tableColumn id="2" name="Kolumna2" dataDxfId="7086"/>
    <tableColumn id="3" name="Kolumna3" dataDxfId="7085">
      <calculatedColumnFormula>SUM(Tabela3306496[#This Row])</calculatedColumnFormula>
    </tableColumn>
    <tableColumn id="4" name="Kolumna4" dataDxfId="7084">
      <calculatedColumnFormula>Tabela71867[[#This Row],[Kolumna3]]-Tabela71867[[#This Row],[Kolumna2]]</calculatedColumnFormula>
    </tableColumn>
    <tableColumn id="5" name="Kolumna5" dataDxfId="7083" dataCellStyle="Procentowy">
      <calculatedColumnFormula>IFERROR(D52/C52,"")</calculatedColumnFormula>
    </tableColumn>
    <tableColumn id="6" name="Kolumna6" dataDxfId="7082"/>
  </tableColumns>
  <tableStyleInfo name="TableStyleLight9" showFirstColumn="0" showLastColumn="0" showRowStripes="1" showColumnStripes="0"/>
</table>
</file>

<file path=xl/tables/table93.xml><?xml version="1.0" encoding="utf-8"?>
<table xmlns="http://schemas.openxmlformats.org/spreadsheetml/2006/main" id="67" name="Tabela33068" displayName="Tabela33068" ref="I73:AM83" totalsRowShown="0" headerRowDxfId="7081">
  <autoFilter ref="I73:AM8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080"/>
    <tableColumn id="2" name="2" dataDxfId="7079"/>
    <tableColumn id="3" name="3" dataDxfId="7078"/>
    <tableColumn id="4" name="4" dataDxfId="7077"/>
    <tableColumn id="5" name="5" dataDxfId="7076"/>
    <tableColumn id="6" name="6" dataDxfId="7075"/>
    <tableColumn id="7" name="7" dataDxfId="7074"/>
    <tableColumn id="8" name="8" dataDxfId="7073"/>
    <tableColumn id="9" name="9" dataDxfId="7072"/>
    <tableColumn id="10" name="10" dataDxfId="7071"/>
    <tableColumn id="11" name="11" dataDxfId="7070"/>
    <tableColumn id="12" name="12" dataDxfId="7069"/>
    <tableColumn id="13" name="13" dataDxfId="7068"/>
    <tableColumn id="14" name="14" dataDxfId="7067"/>
    <tableColumn id="15" name="15" dataDxfId="7066"/>
    <tableColumn id="16" name="16" dataDxfId="7065"/>
    <tableColumn id="17" name="17" dataDxfId="7064"/>
    <tableColumn id="18" name="18" dataDxfId="7063"/>
    <tableColumn id="19" name="19" dataDxfId="7062"/>
    <tableColumn id="20" name="20" dataDxfId="7061"/>
    <tableColumn id="21" name="21" dataDxfId="7060"/>
    <tableColumn id="22" name="22" dataDxfId="7059"/>
    <tableColumn id="23" name="23" dataDxfId="7058"/>
    <tableColumn id="24" name="24" dataDxfId="7057"/>
    <tableColumn id="25" name="25" dataDxfId="7056"/>
    <tableColumn id="26" name="26" dataDxfId="7055"/>
    <tableColumn id="27" name="27" dataDxfId="7054"/>
    <tableColumn id="28" name="28" dataDxfId="7053"/>
    <tableColumn id="29" name="29" dataDxfId="7052"/>
    <tableColumn id="30" name="30" dataDxfId="7051"/>
    <tableColumn id="31" name="31" dataDxfId="7050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id="68" name="Tabela43169" displayName="Tabela43169" ref="B86:G95" headerRowCount="0" totalsRowShown="0" headerRowDxfId="7049">
  <tableColumns count="6">
    <tableColumn id="1" name="Kolumna1" dataDxfId="7048">
      <calculatedColumnFormula>'Wzorzec kategorii'!B48</calculatedColumnFormula>
    </tableColumn>
    <tableColumn id="2" name="Kolumna2" headerRowDxfId="7047" dataDxfId="7046"/>
    <tableColumn id="3" name="Kolumna3" headerRowDxfId="7045" dataDxfId="7044">
      <calculatedColumnFormula>SUM(Tabela184179[#This Row])</calculatedColumnFormula>
    </tableColumn>
    <tableColumn id="4" name="Kolumna4" headerRowDxfId="7043" dataDxfId="7042">
      <calculatedColumnFormula>C86-D86</calculatedColumnFormula>
    </tableColumn>
    <tableColumn id="5" name="Kolumna5" headerRowDxfId="7041" dataDxfId="7040">
      <calculatedColumnFormula>IFERROR(D86/C86,"")</calculatedColumnFormula>
    </tableColumn>
    <tableColumn id="6" name="Kolumna6" headerRowDxfId="7039" dataDxfId="7038"/>
  </tableColumns>
  <tableStyleInfo name="TableStyleLight9" showFirstColumn="0" showLastColumn="0" showRowStripes="1" showColumnStripes="0"/>
</table>
</file>

<file path=xl/tables/table95.xml><?xml version="1.0" encoding="utf-8"?>
<table xmlns="http://schemas.openxmlformats.org/spreadsheetml/2006/main" id="69" name="Tabela83270" displayName="Tabela83270" ref="B110:G119" headerRowCount="0" totalsRowShown="0">
  <tableColumns count="6">
    <tableColumn id="1" name="Kolumna1" headerRowDxfId="7037" dataDxfId="7036">
      <calculatedColumnFormula>'Wzorzec kategorii'!B72</calculatedColumnFormula>
    </tableColumn>
    <tableColumn id="2" name="Kolumna2" dataDxfId="7035"/>
    <tableColumn id="3" name="Kolumna3" dataDxfId="7034">
      <calculatedColumnFormula>SUM(Tabela19214381[#This Row])</calculatedColumnFormula>
    </tableColumn>
    <tableColumn id="4" name="Kolumna4" dataDxfId="7033">
      <calculatedColumnFormula>C110-D110</calculatedColumnFormula>
    </tableColumn>
    <tableColumn id="5" name="Kolumna5" dataDxfId="7032">
      <calculatedColumnFormula>IFERROR(D110/C110,"")</calculatedColumnFormula>
    </tableColumn>
    <tableColumn id="6" name="Kolumna6" dataDxfId="7031"/>
  </tableColumns>
  <tableStyleInfo name="TableStyleLight9" showFirstColumn="0" showLastColumn="0" showRowStripes="1" showColumnStripes="0"/>
</table>
</file>

<file path=xl/tables/table96.xml><?xml version="1.0" encoding="utf-8"?>
<table xmlns="http://schemas.openxmlformats.org/spreadsheetml/2006/main" id="70" name="Tabela93371" displayName="Tabela93371" ref="B122:G131" headerRowCount="0" totalsRowShown="0">
  <tableColumns count="6">
    <tableColumn id="1" name="Kolumna1" headerRowDxfId="7030" dataDxfId="7029">
      <calculatedColumnFormula>'Wzorzec kategorii'!B84</calculatedColumnFormula>
    </tableColumn>
    <tableColumn id="2" name="Kolumna2" dataDxfId="7028"/>
    <tableColumn id="3" name="Kolumna3" dataDxfId="7027">
      <calculatedColumnFormula>SUM(Tabela1921254785[#This Row])</calculatedColumnFormula>
    </tableColumn>
    <tableColumn id="4" name="Kolumna4" dataDxfId="7026">
      <calculatedColumnFormula>C122-D122</calculatedColumnFormula>
    </tableColumn>
    <tableColumn id="5" name="Kolumna5" dataDxfId="7025">
      <calculatedColumnFormula>IFERROR(D122/C122,"")</calculatedColumnFormula>
    </tableColumn>
    <tableColumn id="6" name="Kolumna6" dataDxfId="7024"/>
  </tableColumns>
  <tableStyleInfo name="TableStyleLight9" showFirstColumn="0" showLastColumn="0" showRowStripes="1" showColumnStripes="0"/>
</table>
</file>

<file path=xl/tables/table97.xml><?xml version="1.0" encoding="utf-8"?>
<table xmlns="http://schemas.openxmlformats.org/spreadsheetml/2006/main" id="71" name="Tabela103472" displayName="Tabela103472" ref="B134:G143" headerRowCount="0" totalsRowShown="0">
  <tableColumns count="6">
    <tableColumn id="1" name="Kolumna1" headerRowDxfId="7023" dataDxfId="7022">
      <calculatedColumnFormula>'Wzorzec kategorii'!B96</calculatedColumnFormula>
    </tableColumn>
    <tableColumn id="2" name="Kolumna2" dataDxfId="7021"/>
    <tableColumn id="3" name="Kolumna3" dataDxfId="7020">
      <calculatedColumnFormula>SUM(Tabela1921244684[#This Row])</calculatedColumnFormula>
    </tableColumn>
    <tableColumn id="4" name="Kolumna4" dataDxfId="7019">
      <calculatedColumnFormula>C134-D134</calculatedColumnFormula>
    </tableColumn>
    <tableColumn id="5" name="Kolumna5" dataDxfId="7018">
      <calculatedColumnFormula>IFERROR(D134/C134,"")</calculatedColumnFormula>
    </tableColumn>
    <tableColumn id="6" name="Kolumna6" dataDxfId="7017"/>
  </tableColumns>
  <tableStyleInfo name="TableStyleLight9" showFirstColumn="0" showLastColumn="0" showRowStripes="1" showColumnStripes="0"/>
</table>
</file>

<file path=xl/tables/table98.xml><?xml version="1.0" encoding="utf-8"?>
<table xmlns="http://schemas.openxmlformats.org/spreadsheetml/2006/main" id="72" name="Tabela113573" displayName="Tabela113573" ref="B146:G155" headerRowCount="0" totalsRowShown="0">
  <tableColumns count="6">
    <tableColumn id="1" name="Kolumna1" dataDxfId="7016">
      <calculatedColumnFormula>'Wzorzec kategorii'!B108</calculatedColumnFormula>
    </tableColumn>
    <tableColumn id="2" name="Kolumna2" dataDxfId="7015"/>
    <tableColumn id="3" name="Kolumna3" dataDxfId="7014">
      <calculatedColumnFormula>SUM(Tabela19224482[#This Row])</calculatedColumnFormula>
    </tableColumn>
    <tableColumn id="4" name="Kolumna4" dataDxfId="7013">
      <calculatedColumnFormula>C146-D146</calculatedColumnFormula>
    </tableColumn>
    <tableColumn id="5" name="Kolumna5" dataDxfId="7012">
      <calculatedColumnFormula>IFERROR(D146/C146,"")</calculatedColumnFormula>
    </tableColumn>
    <tableColumn id="6" name="Kolumna6" dataDxfId="7011"/>
  </tableColumns>
  <tableStyleInfo name="TableStyleLight9" showFirstColumn="0" showLastColumn="0" showRowStripes="1" showColumnStripes="0"/>
</table>
</file>

<file path=xl/tables/table99.xml><?xml version="1.0" encoding="utf-8"?>
<table xmlns="http://schemas.openxmlformats.org/spreadsheetml/2006/main" id="73" name="Tabela123674" displayName="Tabela123674" ref="B158:G167" headerRowCount="0" totalsRowShown="0">
  <tableColumns count="6">
    <tableColumn id="1" name="Kolumna1" dataDxfId="7010">
      <calculatedColumnFormula>'Wzorzec kategorii'!B120</calculatedColumnFormula>
    </tableColumn>
    <tableColumn id="2" name="Kolumna2" dataDxfId="7009"/>
    <tableColumn id="3" name="Kolumna3" dataDxfId="7008">
      <calculatedColumnFormula>SUM(Tabela254886[#This Row])</calculatedColumnFormula>
    </tableColumn>
    <tableColumn id="4" name="Kolumna4" dataDxfId="7007">
      <calculatedColumnFormula>C158-D158</calculatedColumnFormula>
    </tableColumn>
    <tableColumn id="5" name="Kolumna5" dataDxfId="7006">
      <calculatedColumnFormula>IFERROR(D158/C158,"")</calculatedColumnFormula>
    </tableColumn>
    <tableColumn id="6" name="Kolumna6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table" Target="../tables/table7.xml"/><Relationship Id="rId20" Type="http://schemas.openxmlformats.org/officeDocument/2006/relationships/table" Target="../tables/table18.xml"/><Relationship Id="rId21" Type="http://schemas.openxmlformats.org/officeDocument/2006/relationships/table" Target="../tables/table19.xml"/><Relationship Id="rId22" Type="http://schemas.openxmlformats.org/officeDocument/2006/relationships/table" Target="../tables/table20.xml"/><Relationship Id="rId23" Type="http://schemas.openxmlformats.org/officeDocument/2006/relationships/table" Target="../tables/table21.xml"/><Relationship Id="rId24" Type="http://schemas.openxmlformats.org/officeDocument/2006/relationships/table" Target="../tables/table22.xml"/><Relationship Id="rId25" Type="http://schemas.openxmlformats.org/officeDocument/2006/relationships/table" Target="../tables/table23.xml"/><Relationship Id="rId26" Type="http://schemas.openxmlformats.org/officeDocument/2006/relationships/table" Target="../tables/table24.xml"/><Relationship Id="rId27" Type="http://schemas.openxmlformats.org/officeDocument/2006/relationships/table" Target="../tables/table25.xml"/><Relationship Id="rId10" Type="http://schemas.openxmlformats.org/officeDocument/2006/relationships/table" Target="../tables/table8.xml"/><Relationship Id="rId11" Type="http://schemas.openxmlformats.org/officeDocument/2006/relationships/table" Target="../tables/table9.xml"/><Relationship Id="rId12" Type="http://schemas.openxmlformats.org/officeDocument/2006/relationships/table" Target="../tables/table10.xml"/><Relationship Id="rId13" Type="http://schemas.openxmlformats.org/officeDocument/2006/relationships/table" Target="../tables/table11.xml"/><Relationship Id="rId14" Type="http://schemas.openxmlformats.org/officeDocument/2006/relationships/table" Target="../tables/table12.xml"/><Relationship Id="rId15" Type="http://schemas.openxmlformats.org/officeDocument/2006/relationships/table" Target="../tables/table13.xml"/><Relationship Id="rId16" Type="http://schemas.openxmlformats.org/officeDocument/2006/relationships/table" Target="../tables/table14.xml"/><Relationship Id="rId17" Type="http://schemas.openxmlformats.org/officeDocument/2006/relationships/table" Target="../tables/table15.xml"/><Relationship Id="rId18" Type="http://schemas.openxmlformats.org/officeDocument/2006/relationships/table" Target="../tables/table16.xml"/><Relationship Id="rId19" Type="http://schemas.openxmlformats.org/officeDocument/2006/relationships/table" Target="../tables/table17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1.xml"/><Relationship Id="rId3" Type="http://schemas.openxmlformats.org/officeDocument/2006/relationships/table" Target="../tables/table1.xml"/><Relationship Id="rId4" Type="http://schemas.openxmlformats.org/officeDocument/2006/relationships/table" Target="../tables/table2.xml"/><Relationship Id="rId5" Type="http://schemas.openxmlformats.org/officeDocument/2006/relationships/table" Target="../tables/table3.xml"/><Relationship Id="rId6" Type="http://schemas.openxmlformats.org/officeDocument/2006/relationships/table" Target="../tables/table4.xml"/><Relationship Id="rId7" Type="http://schemas.openxmlformats.org/officeDocument/2006/relationships/table" Target="../tables/table5.xml"/><Relationship Id="rId8" Type="http://schemas.openxmlformats.org/officeDocument/2006/relationships/table" Target="../tables/table6.xml"/></Relationships>
</file>

<file path=xl/worksheets/_rels/sheet10.xml.rels><?xml version="1.0" encoding="UTF-8" standalone="yes"?>
<Relationships xmlns="http://schemas.openxmlformats.org/package/2006/relationships"><Relationship Id="rId20" Type="http://schemas.openxmlformats.org/officeDocument/2006/relationships/table" Target="../tables/table267.xml"/><Relationship Id="rId21" Type="http://schemas.openxmlformats.org/officeDocument/2006/relationships/table" Target="../tables/table268.xml"/><Relationship Id="rId22" Type="http://schemas.openxmlformats.org/officeDocument/2006/relationships/table" Target="../tables/table269.xml"/><Relationship Id="rId23" Type="http://schemas.openxmlformats.org/officeDocument/2006/relationships/table" Target="../tables/table270.xml"/><Relationship Id="rId24" Type="http://schemas.openxmlformats.org/officeDocument/2006/relationships/table" Target="../tables/table271.xml"/><Relationship Id="rId25" Type="http://schemas.openxmlformats.org/officeDocument/2006/relationships/table" Target="../tables/table272.xml"/><Relationship Id="rId26" Type="http://schemas.openxmlformats.org/officeDocument/2006/relationships/table" Target="../tables/table273.xml"/><Relationship Id="rId27" Type="http://schemas.openxmlformats.org/officeDocument/2006/relationships/table" Target="../tables/table274.xml"/><Relationship Id="rId28" Type="http://schemas.openxmlformats.org/officeDocument/2006/relationships/table" Target="../tables/table275.xml"/><Relationship Id="rId29" Type="http://schemas.openxmlformats.org/officeDocument/2006/relationships/table" Target="../tables/table276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9.xml"/><Relationship Id="rId3" Type="http://schemas.openxmlformats.org/officeDocument/2006/relationships/table" Target="../tables/table250.xml"/><Relationship Id="rId4" Type="http://schemas.openxmlformats.org/officeDocument/2006/relationships/table" Target="../tables/table251.xml"/><Relationship Id="rId5" Type="http://schemas.openxmlformats.org/officeDocument/2006/relationships/table" Target="../tables/table252.xml"/><Relationship Id="rId30" Type="http://schemas.openxmlformats.org/officeDocument/2006/relationships/table" Target="../tables/table277.xml"/><Relationship Id="rId31" Type="http://schemas.openxmlformats.org/officeDocument/2006/relationships/table" Target="../tables/table278.xml"/><Relationship Id="rId32" Type="http://schemas.openxmlformats.org/officeDocument/2006/relationships/table" Target="../tables/table279.xml"/><Relationship Id="rId9" Type="http://schemas.openxmlformats.org/officeDocument/2006/relationships/table" Target="../tables/table256.xml"/><Relationship Id="rId6" Type="http://schemas.openxmlformats.org/officeDocument/2006/relationships/table" Target="../tables/table253.xml"/><Relationship Id="rId7" Type="http://schemas.openxmlformats.org/officeDocument/2006/relationships/table" Target="../tables/table254.xml"/><Relationship Id="rId8" Type="http://schemas.openxmlformats.org/officeDocument/2006/relationships/table" Target="../tables/table255.xml"/><Relationship Id="rId33" Type="http://schemas.openxmlformats.org/officeDocument/2006/relationships/table" Target="../tables/table280.xml"/><Relationship Id="rId34" Type="http://schemas.openxmlformats.org/officeDocument/2006/relationships/table" Target="../tables/table281.xml"/><Relationship Id="rId10" Type="http://schemas.openxmlformats.org/officeDocument/2006/relationships/table" Target="../tables/table257.xml"/><Relationship Id="rId11" Type="http://schemas.openxmlformats.org/officeDocument/2006/relationships/table" Target="../tables/table258.xml"/><Relationship Id="rId12" Type="http://schemas.openxmlformats.org/officeDocument/2006/relationships/table" Target="../tables/table259.xml"/><Relationship Id="rId13" Type="http://schemas.openxmlformats.org/officeDocument/2006/relationships/table" Target="../tables/table260.xml"/><Relationship Id="rId14" Type="http://schemas.openxmlformats.org/officeDocument/2006/relationships/table" Target="../tables/table261.xml"/><Relationship Id="rId15" Type="http://schemas.openxmlformats.org/officeDocument/2006/relationships/table" Target="../tables/table262.xml"/><Relationship Id="rId16" Type="http://schemas.openxmlformats.org/officeDocument/2006/relationships/table" Target="../tables/table263.xml"/><Relationship Id="rId17" Type="http://schemas.openxmlformats.org/officeDocument/2006/relationships/table" Target="../tables/table264.xml"/><Relationship Id="rId18" Type="http://schemas.openxmlformats.org/officeDocument/2006/relationships/table" Target="../tables/table265.xml"/><Relationship Id="rId19" Type="http://schemas.openxmlformats.org/officeDocument/2006/relationships/table" Target="../tables/table266.xml"/></Relationships>
</file>

<file path=xl/worksheets/_rels/sheet11.xml.rels><?xml version="1.0" encoding="UTF-8" standalone="yes"?>
<Relationships xmlns="http://schemas.openxmlformats.org/package/2006/relationships"><Relationship Id="rId20" Type="http://schemas.openxmlformats.org/officeDocument/2006/relationships/table" Target="../tables/table299.xml"/><Relationship Id="rId21" Type="http://schemas.openxmlformats.org/officeDocument/2006/relationships/table" Target="../tables/table300.xml"/><Relationship Id="rId22" Type="http://schemas.openxmlformats.org/officeDocument/2006/relationships/table" Target="../tables/table301.xml"/><Relationship Id="rId23" Type="http://schemas.openxmlformats.org/officeDocument/2006/relationships/table" Target="../tables/table302.xml"/><Relationship Id="rId24" Type="http://schemas.openxmlformats.org/officeDocument/2006/relationships/table" Target="../tables/table303.xml"/><Relationship Id="rId25" Type="http://schemas.openxmlformats.org/officeDocument/2006/relationships/table" Target="../tables/table304.xml"/><Relationship Id="rId26" Type="http://schemas.openxmlformats.org/officeDocument/2006/relationships/table" Target="../tables/table305.xml"/><Relationship Id="rId27" Type="http://schemas.openxmlformats.org/officeDocument/2006/relationships/table" Target="../tables/table306.xml"/><Relationship Id="rId28" Type="http://schemas.openxmlformats.org/officeDocument/2006/relationships/table" Target="../tables/table307.xml"/><Relationship Id="rId29" Type="http://schemas.openxmlformats.org/officeDocument/2006/relationships/table" Target="../tables/table308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10.xml"/><Relationship Id="rId3" Type="http://schemas.openxmlformats.org/officeDocument/2006/relationships/table" Target="../tables/table282.xml"/><Relationship Id="rId4" Type="http://schemas.openxmlformats.org/officeDocument/2006/relationships/table" Target="../tables/table283.xml"/><Relationship Id="rId5" Type="http://schemas.openxmlformats.org/officeDocument/2006/relationships/table" Target="../tables/table284.xml"/><Relationship Id="rId30" Type="http://schemas.openxmlformats.org/officeDocument/2006/relationships/table" Target="../tables/table309.xml"/><Relationship Id="rId31" Type="http://schemas.openxmlformats.org/officeDocument/2006/relationships/table" Target="../tables/table310.xml"/><Relationship Id="rId32" Type="http://schemas.openxmlformats.org/officeDocument/2006/relationships/table" Target="../tables/table311.xml"/><Relationship Id="rId9" Type="http://schemas.openxmlformats.org/officeDocument/2006/relationships/table" Target="../tables/table288.xml"/><Relationship Id="rId6" Type="http://schemas.openxmlformats.org/officeDocument/2006/relationships/table" Target="../tables/table285.xml"/><Relationship Id="rId7" Type="http://schemas.openxmlformats.org/officeDocument/2006/relationships/table" Target="../tables/table286.xml"/><Relationship Id="rId8" Type="http://schemas.openxmlformats.org/officeDocument/2006/relationships/table" Target="../tables/table287.xml"/><Relationship Id="rId33" Type="http://schemas.openxmlformats.org/officeDocument/2006/relationships/table" Target="../tables/table312.xml"/><Relationship Id="rId34" Type="http://schemas.openxmlformats.org/officeDocument/2006/relationships/table" Target="../tables/table313.xml"/><Relationship Id="rId10" Type="http://schemas.openxmlformats.org/officeDocument/2006/relationships/table" Target="../tables/table289.xml"/><Relationship Id="rId11" Type="http://schemas.openxmlformats.org/officeDocument/2006/relationships/table" Target="../tables/table290.xml"/><Relationship Id="rId12" Type="http://schemas.openxmlformats.org/officeDocument/2006/relationships/table" Target="../tables/table291.xml"/><Relationship Id="rId13" Type="http://schemas.openxmlformats.org/officeDocument/2006/relationships/table" Target="../tables/table292.xml"/><Relationship Id="rId14" Type="http://schemas.openxmlformats.org/officeDocument/2006/relationships/table" Target="../tables/table293.xml"/><Relationship Id="rId15" Type="http://schemas.openxmlformats.org/officeDocument/2006/relationships/table" Target="../tables/table294.xml"/><Relationship Id="rId16" Type="http://schemas.openxmlformats.org/officeDocument/2006/relationships/table" Target="../tables/table295.xml"/><Relationship Id="rId17" Type="http://schemas.openxmlformats.org/officeDocument/2006/relationships/table" Target="../tables/table296.xml"/><Relationship Id="rId18" Type="http://schemas.openxmlformats.org/officeDocument/2006/relationships/table" Target="../tables/table297.xml"/><Relationship Id="rId19" Type="http://schemas.openxmlformats.org/officeDocument/2006/relationships/table" Target="../tables/table298.xml"/></Relationships>
</file>

<file path=xl/worksheets/_rels/sheet12.xml.rels><?xml version="1.0" encoding="UTF-8" standalone="yes"?>
<Relationships xmlns="http://schemas.openxmlformats.org/package/2006/relationships"><Relationship Id="rId20" Type="http://schemas.openxmlformats.org/officeDocument/2006/relationships/table" Target="../tables/table331.xml"/><Relationship Id="rId21" Type="http://schemas.openxmlformats.org/officeDocument/2006/relationships/table" Target="../tables/table332.xml"/><Relationship Id="rId22" Type="http://schemas.openxmlformats.org/officeDocument/2006/relationships/table" Target="../tables/table333.xml"/><Relationship Id="rId23" Type="http://schemas.openxmlformats.org/officeDocument/2006/relationships/table" Target="../tables/table334.xml"/><Relationship Id="rId24" Type="http://schemas.openxmlformats.org/officeDocument/2006/relationships/table" Target="../tables/table335.xml"/><Relationship Id="rId25" Type="http://schemas.openxmlformats.org/officeDocument/2006/relationships/table" Target="../tables/table336.xml"/><Relationship Id="rId26" Type="http://schemas.openxmlformats.org/officeDocument/2006/relationships/table" Target="../tables/table337.xml"/><Relationship Id="rId27" Type="http://schemas.openxmlformats.org/officeDocument/2006/relationships/table" Target="../tables/table338.xml"/><Relationship Id="rId28" Type="http://schemas.openxmlformats.org/officeDocument/2006/relationships/table" Target="../tables/table339.xml"/><Relationship Id="rId29" Type="http://schemas.openxmlformats.org/officeDocument/2006/relationships/table" Target="../tables/table340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11.xml"/><Relationship Id="rId3" Type="http://schemas.openxmlformats.org/officeDocument/2006/relationships/table" Target="../tables/table314.xml"/><Relationship Id="rId4" Type="http://schemas.openxmlformats.org/officeDocument/2006/relationships/table" Target="../tables/table315.xml"/><Relationship Id="rId5" Type="http://schemas.openxmlformats.org/officeDocument/2006/relationships/table" Target="../tables/table316.xml"/><Relationship Id="rId30" Type="http://schemas.openxmlformats.org/officeDocument/2006/relationships/table" Target="../tables/table341.xml"/><Relationship Id="rId31" Type="http://schemas.openxmlformats.org/officeDocument/2006/relationships/table" Target="../tables/table342.xml"/><Relationship Id="rId32" Type="http://schemas.openxmlformats.org/officeDocument/2006/relationships/table" Target="../tables/table343.xml"/><Relationship Id="rId9" Type="http://schemas.openxmlformats.org/officeDocument/2006/relationships/table" Target="../tables/table320.xml"/><Relationship Id="rId6" Type="http://schemas.openxmlformats.org/officeDocument/2006/relationships/table" Target="../tables/table317.xml"/><Relationship Id="rId7" Type="http://schemas.openxmlformats.org/officeDocument/2006/relationships/table" Target="../tables/table318.xml"/><Relationship Id="rId8" Type="http://schemas.openxmlformats.org/officeDocument/2006/relationships/table" Target="../tables/table319.xml"/><Relationship Id="rId33" Type="http://schemas.openxmlformats.org/officeDocument/2006/relationships/table" Target="../tables/table344.xml"/><Relationship Id="rId34" Type="http://schemas.openxmlformats.org/officeDocument/2006/relationships/table" Target="../tables/table345.xml"/><Relationship Id="rId10" Type="http://schemas.openxmlformats.org/officeDocument/2006/relationships/table" Target="../tables/table321.xml"/><Relationship Id="rId11" Type="http://schemas.openxmlformats.org/officeDocument/2006/relationships/table" Target="../tables/table322.xml"/><Relationship Id="rId12" Type="http://schemas.openxmlformats.org/officeDocument/2006/relationships/table" Target="../tables/table323.xml"/><Relationship Id="rId13" Type="http://schemas.openxmlformats.org/officeDocument/2006/relationships/table" Target="../tables/table324.xml"/><Relationship Id="rId14" Type="http://schemas.openxmlformats.org/officeDocument/2006/relationships/table" Target="../tables/table325.xml"/><Relationship Id="rId15" Type="http://schemas.openxmlformats.org/officeDocument/2006/relationships/table" Target="../tables/table326.xml"/><Relationship Id="rId16" Type="http://schemas.openxmlformats.org/officeDocument/2006/relationships/table" Target="../tables/table327.xml"/><Relationship Id="rId17" Type="http://schemas.openxmlformats.org/officeDocument/2006/relationships/table" Target="../tables/table328.xml"/><Relationship Id="rId18" Type="http://schemas.openxmlformats.org/officeDocument/2006/relationships/table" Target="../tables/table329.xml"/><Relationship Id="rId19" Type="http://schemas.openxmlformats.org/officeDocument/2006/relationships/table" Target="../tables/table330.xml"/></Relationships>
</file>

<file path=xl/worksheets/_rels/sheet13.xml.rels><?xml version="1.0" encoding="UTF-8" standalone="yes"?>
<Relationships xmlns="http://schemas.openxmlformats.org/package/2006/relationships"><Relationship Id="rId20" Type="http://schemas.openxmlformats.org/officeDocument/2006/relationships/table" Target="../tables/table363.xml"/><Relationship Id="rId21" Type="http://schemas.openxmlformats.org/officeDocument/2006/relationships/table" Target="../tables/table364.xml"/><Relationship Id="rId22" Type="http://schemas.openxmlformats.org/officeDocument/2006/relationships/table" Target="../tables/table365.xml"/><Relationship Id="rId23" Type="http://schemas.openxmlformats.org/officeDocument/2006/relationships/table" Target="../tables/table366.xml"/><Relationship Id="rId24" Type="http://schemas.openxmlformats.org/officeDocument/2006/relationships/table" Target="../tables/table367.xml"/><Relationship Id="rId25" Type="http://schemas.openxmlformats.org/officeDocument/2006/relationships/table" Target="../tables/table368.xml"/><Relationship Id="rId26" Type="http://schemas.openxmlformats.org/officeDocument/2006/relationships/table" Target="../tables/table369.xml"/><Relationship Id="rId27" Type="http://schemas.openxmlformats.org/officeDocument/2006/relationships/table" Target="../tables/table370.xml"/><Relationship Id="rId28" Type="http://schemas.openxmlformats.org/officeDocument/2006/relationships/table" Target="../tables/table371.xml"/><Relationship Id="rId29" Type="http://schemas.openxmlformats.org/officeDocument/2006/relationships/table" Target="../tables/table372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12.xml"/><Relationship Id="rId3" Type="http://schemas.openxmlformats.org/officeDocument/2006/relationships/table" Target="../tables/table346.xml"/><Relationship Id="rId4" Type="http://schemas.openxmlformats.org/officeDocument/2006/relationships/table" Target="../tables/table347.xml"/><Relationship Id="rId5" Type="http://schemas.openxmlformats.org/officeDocument/2006/relationships/table" Target="../tables/table348.xml"/><Relationship Id="rId30" Type="http://schemas.openxmlformats.org/officeDocument/2006/relationships/table" Target="../tables/table373.xml"/><Relationship Id="rId31" Type="http://schemas.openxmlformats.org/officeDocument/2006/relationships/table" Target="../tables/table374.xml"/><Relationship Id="rId32" Type="http://schemas.openxmlformats.org/officeDocument/2006/relationships/table" Target="../tables/table375.xml"/><Relationship Id="rId9" Type="http://schemas.openxmlformats.org/officeDocument/2006/relationships/table" Target="../tables/table352.xml"/><Relationship Id="rId6" Type="http://schemas.openxmlformats.org/officeDocument/2006/relationships/table" Target="../tables/table349.xml"/><Relationship Id="rId7" Type="http://schemas.openxmlformats.org/officeDocument/2006/relationships/table" Target="../tables/table350.xml"/><Relationship Id="rId8" Type="http://schemas.openxmlformats.org/officeDocument/2006/relationships/table" Target="../tables/table351.xml"/><Relationship Id="rId33" Type="http://schemas.openxmlformats.org/officeDocument/2006/relationships/table" Target="../tables/table376.xml"/><Relationship Id="rId34" Type="http://schemas.openxmlformats.org/officeDocument/2006/relationships/table" Target="../tables/table377.xml"/><Relationship Id="rId10" Type="http://schemas.openxmlformats.org/officeDocument/2006/relationships/table" Target="../tables/table353.xml"/><Relationship Id="rId11" Type="http://schemas.openxmlformats.org/officeDocument/2006/relationships/table" Target="../tables/table354.xml"/><Relationship Id="rId12" Type="http://schemas.openxmlformats.org/officeDocument/2006/relationships/table" Target="../tables/table355.xml"/><Relationship Id="rId13" Type="http://schemas.openxmlformats.org/officeDocument/2006/relationships/table" Target="../tables/table356.xml"/><Relationship Id="rId14" Type="http://schemas.openxmlformats.org/officeDocument/2006/relationships/table" Target="../tables/table357.xml"/><Relationship Id="rId15" Type="http://schemas.openxmlformats.org/officeDocument/2006/relationships/table" Target="../tables/table358.xml"/><Relationship Id="rId16" Type="http://schemas.openxmlformats.org/officeDocument/2006/relationships/table" Target="../tables/table359.xml"/><Relationship Id="rId17" Type="http://schemas.openxmlformats.org/officeDocument/2006/relationships/table" Target="../tables/table360.xml"/><Relationship Id="rId18" Type="http://schemas.openxmlformats.org/officeDocument/2006/relationships/table" Target="../tables/table361.xml"/><Relationship Id="rId19" Type="http://schemas.openxmlformats.org/officeDocument/2006/relationships/table" Target="../tables/table362.xml"/></Relationships>
</file>

<file path=xl/worksheets/_rels/sheet14.xml.rels><?xml version="1.0" encoding="UTF-8" standalone="yes"?>
<Relationships xmlns="http://schemas.openxmlformats.org/package/2006/relationships"><Relationship Id="rId20" Type="http://schemas.openxmlformats.org/officeDocument/2006/relationships/table" Target="../tables/table395.xml"/><Relationship Id="rId21" Type="http://schemas.openxmlformats.org/officeDocument/2006/relationships/table" Target="../tables/table396.xml"/><Relationship Id="rId22" Type="http://schemas.openxmlformats.org/officeDocument/2006/relationships/table" Target="../tables/table397.xml"/><Relationship Id="rId23" Type="http://schemas.openxmlformats.org/officeDocument/2006/relationships/table" Target="../tables/table398.xml"/><Relationship Id="rId24" Type="http://schemas.openxmlformats.org/officeDocument/2006/relationships/table" Target="../tables/table399.xml"/><Relationship Id="rId25" Type="http://schemas.openxmlformats.org/officeDocument/2006/relationships/table" Target="../tables/table400.xml"/><Relationship Id="rId26" Type="http://schemas.openxmlformats.org/officeDocument/2006/relationships/table" Target="../tables/table401.xml"/><Relationship Id="rId27" Type="http://schemas.openxmlformats.org/officeDocument/2006/relationships/table" Target="../tables/table402.xml"/><Relationship Id="rId28" Type="http://schemas.openxmlformats.org/officeDocument/2006/relationships/table" Target="../tables/table403.xml"/><Relationship Id="rId29" Type="http://schemas.openxmlformats.org/officeDocument/2006/relationships/table" Target="../tables/table404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13.xml"/><Relationship Id="rId3" Type="http://schemas.openxmlformats.org/officeDocument/2006/relationships/table" Target="../tables/table378.xml"/><Relationship Id="rId4" Type="http://schemas.openxmlformats.org/officeDocument/2006/relationships/table" Target="../tables/table379.xml"/><Relationship Id="rId5" Type="http://schemas.openxmlformats.org/officeDocument/2006/relationships/table" Target="../tables/table380.xml"/><Relationship Id="rId30" Type="http://schemas.openxmlformats.org/officeDocument/2006/relationships/table" Target="../tables/table405.xml"/><Relationship Id="rId31" Type="http://schemas.openxmlformats.org/officeDocument/2006/relationships/table" Target="../tables/table406.xml"/><Relationship Id="rId32" Type="http://schemas.openxmlformats.org/officeDocument/2006/relationships/table" Target="../tables/table407.xml"/><Relationship Id="rId9" Type="http://schemas.openxmlformats.org/officeDocument/2006/relationships/table" Target="../tables/table384.xml"/><Relationship Id="rId6" Type="http://schemas.openxmlformats.org/officeDocument/2006/relationships/table" Target="../tables/table381.xml"/><Relationship Id="rId7" Type="http://schemas.openxmlformats.org/officeDocument/2006/relationships/table" Target="../tables/table382.xml"/><Relationship Id="rId8" Type="http://schemas.openxmlformats.org/officeDocument/2006/relationships/table" Target="../tables/table383.xml"/><Relationship Id="rId33" Type="http://schemas.openxmlformats.org/officeDocument/2006/relationships/table" Target="../tables/table408.xml"/><Relationship Id="rId34" Type="http://schemas.openxmlformats.org/officeDocument/2006/relationships/table" Target="../tables/table409.xml"/><Relationship Id="rId10" Type="http://schemas.openxmlformats.org/officeDocument/2006/relationships/table" Target="../tables/table385.xml"/><Relationship Id="rId11" Type="http://schemas.openxmlformats.org/officeDocument/2006/relationships/table" Target="../tables/table386.xml"/><Relationship Id="rId12" Type="http://schemas.openxmlformats.org/officeDocument/2006/relationships/table" Target="../tables/table387.xml"/><Relationship Id="rId13" Type="http://schemas.openxmlformats.org/officeDocument/2006/relationships/table" Target="../tables/table388.xml"/><Relationship Id="rId14" Type="http://schemas.openxmlformats.org/officeDocument/2006/relationships/table" Target="../tables/table389.xml"/><Relationship Id="rId15" Type="http://schemas.openxmlformats.org/officeDocument/2006/relationships/table" Target="../tables/table390.xml"/><Relationship Id="rId16" Type="http://schemas.openxmlformats.org/officeDocument/2006/relationships/table" Target="../tables/table391.xml"/><Relationship Id="rId17" Type="http://schemas.openxmlformats.org/officeDocument/2006/relationships/table" Target="../tables/table392.xml"/><Relationship Id="rId18" Type="http://schemas.openxmlformats.org/officeDocument/2006/relationships/table" Target="../tables/table393.xml"/><Relationship Id="rId19" Type="http://schemas.openxmlformats.org/officeDocument/2006/relationships/table" Target="../tables/table394.xml"/></Relationships>
</file>

<file path=xl/worksheets/_rels/sheet15.xml.rels><?xml version="1.0" encoding="UTF-8" standalone="yes"?>
<Relationships xmlns="http://schemas.openxmlformats.org/package/2006/relationships"><Relationship Id="rId20" Type="http://schemas.openxmlformats.org/officeDocument/2006/relationships/table" Target="../tables/table427.xml"/><Relationship Id="rId21" Type="http://schemas.openxmlformats.org/officeDocument/2006/relationships/table" Target="../tables/table428.xml"/><Relationship Id="rId22" Type="http://schemas.openxmlformats.org/officeDocument/2006/relationships/table" Target="../tables/table429.xml"/><Relationship Id="rId23" Type="http://schemas.openxmlformats.org/officeDocument/2006/relationships/table" Target="../tables/table430.xml"/><Relationship Id="rId24" Type="http://schemas.openxmlformats.org/officeDocument/2006/relationships/table" Target="../tables/table431.xml"/><Relationship Id="rId25" Type="http://schemas.openxmlformats.org/officeDocument/2006/relationships/table" Target="../tables/table432.xml"/><Relationship Id="rId26" Type="http://schemas.openxmlformats.org/officeDocument/2006/relationships/table" Target="../tables/table433.xml"/><Relationship Id="rId27" Type="http://schemas.openxmlformats.org/officeDocument/2006/relationships/table" Target="../tables/table434.xml"/><Relationship Id="rId28" Type="http://schemas.openxmlformats.org/officeDocument/2006/relationships/table" Target="../tables/table435.xml"/><Relationship Id="rId29" Type="http://schemas.openxmlformats.org/officeDocument/2006/relationships/table" Target="../tables/table436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14.xml"/><Relationship Id="rId3" Type="http://schemas.openxmlformats.org/officeDocument/2006/relationships/table" Target="../tables/table410.xml"/><Relationship Id="rId4" Type="http://schemas.openxmlformats.org/officeDocument/2006/relationships/table" Target="../tables/table411.xml"/><Relationship Id="rId5" Type="http://schemas.openxmlformats.org/officeDocument/2006/relationships/table" Target="../tables/table412.xml"/><Relationship Id="rId30" Type="http://schemas.openxmlformats.org/officeDocument/2006/relationships/table" Target="../tables/table437.xml"/><Relationship Id="rId31" Type="http://schemas.openxmlformats.org/officeDocument/2006/relationships/table" Target="../tables/table438.xml"/><Relationship Id="rId32" Type="http://schemas.openxmlformats.org/officeDocument/2006/relationships/table" Target="../tables/table439.xml"/><Relationship Id="rId9" Type="http://schemas.openxmlformats.org/officeDocument/2006/relationships/table" Target="../tables/table416.xml"/><Relationship Id="rId6" Type="http://schemas.openxmlformats.org/officeDocument/2006/relationships/table" Target="../tables/table413.xml"/><Relationship Id="rId7" Type="http://schemas.openxmlformats.org/officeDocument/2006/relationships/table" Target="../tables/table414.xml"/><Relationship Id="rId8" Type="http://schemas.openxmlformats.org/officeDocument/2006/relationships/table" Target="../tables/table415.xml"/><Relationship Id="rId33" Type="http://schemas.openxmlformats.org/officeDocument/2006/relationships/table" Target="../tables/table440.xml"/><Relationship Id="rId34" Type="http://schemas.openxmlformats.org/officeDocument/2006/relationships/table" Target="../tables/table441.xml"/><Relationship Id="rId10" Type="http://schemas.openxmlformats.org/officeDocument/2006/relationships/table" Target="../tables/table417.xml"/><Relationship Id="rId11" Type="http://schemas.openxmlformats.org/officeDocument/2006/relationships/table" Target="../tables/table418.xml"/><Relationship Id="rId12" Type="http://schemas.openxmlformats.org/officeDocument/2006/relationships/table" Target="../tables/table419.xml"/><Relationship Id="rId13" Type="http://schemas.openxmlformats.org/officeDocument/2006/relationships/table" Target="../tables/table420.xml"/><Relationship Id="rId14" Type="http://schemas.openxmlformats.org/officeDocument/2006/relationships/table" Target="../tables/table421.xml"/><Relationship Id="rId15" Type="http://schemas.openxmlformats.org/officeDocument/2006/relationships/table" Target="../tables/table422.xml"/><Relationship Id="rId16" Type="http://schemas.openxmlformats.org/officeDocument/2006/relationships/table" Target="../tables/table423.xml"/><Relationship Id="rId17" Type="http://schemas.openxmlformats.org/officeDocument/2006/relationships/table" Target="../tables/table424.xml"/><Relationship Id="rId18" Type="http://schemas.openxmlformats.org/officeDocument/2006/relationships/table" Target="../tables/table425.xml"/><Relationship Id="rId19" Type="http://schemas.openxmlformats.org/officeDocument/2006/relationships/table" Target="../tables/table426.xml"/></Relationships>
</file>

<file path=xl/worksheets/_rels/sheet2.xml.rels><?xml version="1.0" encoding="UTF-8" standalone="yes"?>
<Relationships xmlns="http://schemas.openxmlformats.org/package/2006/relationships"><Relationship Id="rId11" Type="http://schemas.openxmlformats.org/officeDocument/2006/relationships/table" Target="../tables/table35.xml"/><Relationship Id="rId12" Type="http://schemas.openxmlformats.org/officeDocument/2006/relationships/table" Target="../tables/table36.xml"/><Relationship Id="rId13" Type="http://schemas.openxmlformats.org/officeDocument/2006/relationships/table" Target="../tables/table37.xml"/><Relationship Id="rId14" Type="http://schemas.openxmlformats.org/officeDocument/2006/relationships/table" Target="../tables/table38.xml"/><Relationship Id="rId15" Type="http://schemas.openxmlformats.org/officeDocument/2006/relationships/table" Target="../tables/table39.xml"/><Relationship Id="rId16" Type="http://schemas.openxmlformats.org/officeDocument/2006/relationships/table" Target="../tables/table40.xml"/><Relationship Id="rId17" Type="http://schemas.openxmlformats.org/officeDocument/2006/relationships/table" Target="../tables/table41.xml"/><Relationship Id="rId1" Type="http://schemas.openxmlformats.org/officeDocument/2006/relationships/hyperlink" Target="http://budzetdomowywtydzien.pl/" TargetMode="External"/><Relationship Id="rId2" Type="http://schemas.openxmlformats.org/officeDocument/2006/relationships/table" Target="../tables/table26.xml"/><Relationship Id="rId3" Type="http://schemas.openxmlformats.org/officeDocument/2006/relationships/table" Target="../tables/table27.xml"/><Relationship Id="rId4" Type="http://schemas.openxmlformats.org/officeDocument/2006/relationships/table" Target="../tables/table28.xml"/><Relationship Id="rId5" Type="http://schemas.openxmlformats.org/officeDocument/2006/relationships/table" Target="../tables/table29.xml"/><Relationship Id="rId6" Type="http://schemas.openxmlformats.org/officeDocument/2006/relationships/table" Target="../tables/table30.xml"/><Relationship Id="rId7" Type="http://schemas.openxmlformats.org/officeDocument/2006/relationships/table" Target="../tables/table31.xml"/><Relationship Id="rId8" Type="http://schemas.openxmlformats.org/officeDocument/2006/relationships/table" Target="../tables/table32.xml"/><Relationship Id="rId9" Type="http://schemas.openxmlformats.org/officeDocument/2006/relationships/table" Target="../tables/table33.xml"/><Relationship Id="rId10" Type="http://schemas.openxmlformats.org/officeDocument/2006/relationships/table" Target="../tables/table34.xml"/></Relationships>
</file>

<file path=xl/worksheets/_rels/sheet3.xml.rels><?xml version="1.0" encoding="UTF-8" standalone="yes"?>
<Relationships xmlns="http://schemas.openxmlformats.org/package/2006/relationships"><Relationship Id="rId11" Type="http://schemas.openxmlformats.org/officeDocument/2006/relationships/table" Target="../tables/table50.xml"/><Relationship Id="rId12" Type="http://schemas.openxmlformats.org/officeDocument/2006/relationships/table" Target="../tables/table51.xml"/><Relationship Id="rId13" Type="http://schemas.openxmlformats.org/officeDocument/2006/relationships/table" Target="../tables/table52.xml"/><Relationship Id="rId14" Type="http://schemas.openxmlformats.org/officeDocument/2006/relationships/table" Target="../tables/table53.xml"/><Relationship Id="rId15" Type="http://schemas.openxmlformats.org/officeDocument/2006/relationships/table" Target="../tables/table54.xml"/><Relationship Id="rId16" Type="http://schemas.openxmlformats.org/officeDocument/2006/relationships/table" Target="../tables/table55.xml"/><Relationship Id="rId17" Type="http://schemas.openxmlformats.org/officeDocument/2006/relationships/table" Target="../tables/table56.xml"/><Relationship Id="rId18" Type="http://schemas.openxmlformats.org/officeDocument/2006/relationships/table" Target="../tables/table57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2.xml"/><Relationship Id="rId3" Type="http://schemas.openxmlformats.org/officeDocument/2006/relationships/table" Target="../tables/table42.xml"/><Relationship Id="rId4" Type="http://schemas.openxmlformats.org/officeDocument/2006/relationships/table" Target="../tables/table43.xml"/><Relationship Id="rId5" Type="http://schemas.openxmlformats.org/officeDocument/2006/relationships/table" Target="../tables/table44.xml"/><Relationship Id="rId6" Type="http://schemas.openxmlformats.org/officeDocument/2006/relationships/table" Target="../tables/table45.xml"/><Relationship Id="rId7" Type="http://schemas.openxmlformats.org/officeDocument/2006/relationships/table" Target="../tables/table46.xml"/><Relationship Id="rId8" Type="http://schemas.openxmlformats.org/officeDocument/2006/relationships/table" Target="../tables/table47.xml"/><Relationship Id="rId9" Type="http://schemas.openxmlformats.org/officeDocument/2006/relationships/table" Target="../tables/table48.xml"/><Relationship Id="rId10" Type="http://schemas.openxmlformats.org/officeDocument/2006/relationships/table" Target="../tables/table49.xml"/></Relationships>
</file>

<file path=xl/worksheets/_rels/sheet4.xml.rels><?xml version="1.0" encoding="UTF-8" standalone="yes"?>
<Relationships xmlns="http://schemas.openxmlformats.org/package/2006/relationships"><Relationship Id="rId20" Type="http://schemas.openxmlformats.org/officeDocument/2006/relationships/table" Target="../tables/table75.xml"/><Relationship Id="rId21" Type="http://schemas.openxmlformats.org/officeDocument/2006/relationships/table" Target="../tables/table76.xml"/><Relationship Id="rId22" Type="http://schemas.openxmlformats.org/officeDocument/2006/relationships/table" Target="../tables/table77.xml"/><Relationship Id="rId23" Type="http://schemas.openxmlformats.org/officeDocument/2006/relationships/table" Target="../tables/table78.xml"/><Relationship Id="rId24" Type="http://schemas.openxmlformats.org/officeDocument/2006/relationships/table" Target="../tables/table79.xml"/><Relationship Id="rId25" Type="http://schemas.openxmlformats.org/officeDocument/2006/relationships/table" Target="../tables/table80.xml"/><Relationship Id="rId26" Type="http://schemas.openxmlformats.org/officeDocument/2006/relationships/table" Target="../tables/table81.xml"/><Relationship Id="rId27" Type="http://schemas.openxmlformats.org/officeDocument/2006/relationships/table" Target="../tables/table82.xml"/><Relationship Id="rId28" Type="http://schemas.openxmlformats.org/officeDocument/2006/relationships/table" Target="../tables/table83.xml"/><Relationship Id="rId29" Type="http://schemas.openxmlformats.org/officeDocument/2006/relationships/table" Target="../tables/table84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3.xml"/><Relationship Id="rId3" Type="http://schemas.openxmlformats.org/officeDocument/2006/relationships/table" Target="../tables/table58.xml"/><Relationship Id="rId4" Type="http://schemas.openxmlformats.org/officeDocument/2006/relationships/table" Target="../tables/table59.xml"/><Relationship Id="rId5" Type="http://schemas.openxmlformats.org/officeDocument/2006/relationships/table" Target="../tables/table60.xml"/><Relationship Id="rId30" Type="http://schemas.openxmlformats.org/officeDocument/2006/relationships/table" Target="../tables/table85.xml"/><Relationship Id="rId31" Type="http://schemas.openxmlformats.org/officeDocument/2006/relationships/table" Target="../tables/table86.xml"/><Relationship Id="rId32" Type="http://schemas.openxmlformats.org/officeDocument/2006/relationships/table" Target="../tables/table87.xml"/><Relationship Id="rId9" Type="http://schemas.openxmlformats.org/officeDocument/2006/relationships/table" Target="../tables/table64.xml"/><Relationship Id="rId6" Type="http://schemas.openxmlformats.org/officeDocument/2006/relationships/table" Target="../tables/table61.xml"/><Relationship Id="rId7" Type="http://schemas.openxmlformats.org/officeDocument/2006/relationships/table" Target="../tables/table62.xml"/><Relationship Id="rId8" Type="http://schemas.openxmlformats.org/officeDocument/2006/relationships/table" Target="../tables/table63.xml"/><Relationship Id="rId33" Type="http://schemas.openxmlformats.org/officeDocument/2006/relationships/table" Target="../tables/table88.xml"/><Relationship Id="rId34" Type="http://schemas.openxmlformats.org/officeDocument/2006/relationships/table" Target="../tables/table89.xml"/><Relationship Id="rId10" Type="http://schemas.openxmlformats.org/officeDocument/2006/relationships/table" Target="../tables/table65.xml"/><Relationship Id="rId11" Type="http://schemas.openxmlformats.org/officeDocument/2006/relationships/table" Target="../tables/table66.xml"/><Relationship Id="rId12" Type="http://schemas.openxmlformats.org/officeDocument/2006/relationships/table" Target="../tables/table67.xml"/><Relationship Id="rId13" Type="http://schemas.openxmlformats.org/officeDocument/2006/relationships/table" Target="../tables/table68.xml"/><Relationship Id="rId14" Type="http://schemas.openxmlformats.org/officeDocument/2006/relationships/table" Target="../tables/table69.xml"/><Relationship Id="rId15" Type="http://schemas.openxmlformats.org/officeDocument/2006/relationships/table" Target="../tables/table70.xml"/><Relationship Id="rId16" Type="http://schemas.openxmlformats.org/officeDocument/2006/relationships/table" Target="../tables/table71.xml"/><Relationship Id="rId17" Type="http://schemas.openxmlformats.org/officeDocument/2006/relationships/table" Target="../tables/table72.xml"/><Relationship Id="rId18" Type="http://schemas.openxmlformats.org/officeDocument/2006/relationships/table" Target="../tables/table73.xml"/><Relationship Id="rId19" Type="http://schemas.openxmlformats.org/officeDocument/2006/relationships/table" Target="../tables/table74.xml"/></Relationships>
</file>

<file path=xl/worksheets/_rels/sheet5.xml.rels><?xml version="1.0" encoding="UTF-8" standalone="yes"?>
<Relationships xmlns="http://schemas.openxmlformats.org/package/2006/relationships"><Relationship Id="rId20" Type="http://schemas.openxmlformats.org/officeDocument/2006/relationships/table" Target="../tables/table107.xml"/><Relationship Id="rId21" Type="http://schemas.openxmlformats.org/officeDocument/2006/relationships/table" Target="../tables/table108.xml"/><Relationship Id="rId22" Type="http://schemas.openxmlformats.org/officeDocument/2006/relationships/table" Target="../tables/table109.xml"/><Relationship Id="rId23" Type="http://schemas.openxmlformats.org/officeDocument/2006/relationships/table" Target="../tables/table110.xml"/><Relationship Id="rId24" Type="http://schemas.openxmlformats.org/officeDocument/2006/relationships/table" Target="../tables/table111.xml"/><Relationship Id="rId25" Type="http://schemas.openxmlformats.org/officeDocument/2006/relationships/table" Target="../tables/table112.xml"/><Relationship Id="rId26" Type="http://schemas.openxmlformats.org/officeDocument/2006/relationships/table" Target="../tables/table113.xml"/><Relationship Id="rId27" Type="http://schemas.openxmlformats.org/officeDocument/2006/relationships/table" Target="../tables/table114.xml"/><Relationship Id="rId28" Type="http://schemas.openxmlformats.org/officeDocument/2006/relationships/table" Target="../tables/table115.xml"/><Relationship Id="rId29" Type="http://schemas.openxmlformats.org/officeDocument/2006/relationships/table" Target="../tables/table116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4.xml"/><Relationship Id="rId3" Type="http://schemas.openxmlformats.org/officeDocument/2006/relationships/table" Target="../tables/table90.xml"/><Relationship Id="rId4" Type="http://schemas.openxmlformats.org/officeDocument/2006/relationships/table" Target="../tables/table91.xml"/><Relationship Id="rId5" Type="http://schemas.openxmlformats.org/officeDocument/2006/relationships/table" Target="../tables/table92.xml"/><Relationship Id="rId30" Type="http://schemas.openxmlformats.org/officeDocument/2006/relationships/table" Target="../tables/table117.xml"/><Relationship Id="rId31" Type="http://schemas.openxmlformats.org/officeDocument/2006/relationships/table" Target="../tables/table118.xml"/><Relationship Id="rId32" Type="http://schemas.openxmlformats.org/officeDocument/2006/relationships/table" Target="../tables/table119.xml"/><Relationship Id="rId9" Type="http://schemas.openxmlformats.org/officeDocument/2006/relationships/table" Target="../tables/table96.xml"/><Relationship Id="rId6" Type="http://schemas.openxmlformats.org/officeDocument/2006/relationships/table" Target="../tables/table93.xml"/><Relationship Id="rId7" Type="http://schemas.openxmlformats.org/officeDocument/2006/relationships/table" Target="../tables/table94.xml"/><Relationship Id="rId8" Type="http://schemas.openxmlformats.org/officeDocument/2006/relationships/table" Target="../tables/table95.xml"/><Relationship Id="rId33" Type="http://schemas.openxmlformats.org/officeDocument/2006/relationships/table" Target="../tables/table120.xml"/><Relationship Id="rId34" Type="http://schemas.openxmlformats.org/officeDocument/2006/relationships/table" Target="../tables/table121.xml"/><Relationship Id="rId10" Type="http://schemas.openxmlformats.org/officeDocument/2006/relationships/table" Target="../tables/table97.xml"/><Relationship Id="rId11" Type="http://schemas.openxmlformats.org/officeDocument/2006/relationships/table" Target="../tables/table98.xml"/><Relationship Id="rId12" Type="http://schemas.openxmlformats.org/officeDocument/2006/relationships/table" Target="../tables/table99.xml"/><Relationship Id="rId13" Type="http://schemas.openxmlformats.org/officeDocument/2006/relationships/table" Target="../tables/table100.xml"/><Relationship Id="rId14" Type="http://schemas.openxmlformats.org/officeDocument/2006/relationships/table" Target="../tables/table101.xml"/><Relationship Id="rId15" Type="http://schemas.openxmlformats.org/officeDocument/2006/relationships/table" Target="../tables/table102.xml"/><Relationship Id="rId16" Type="http://schemas.openxmlformats.org/officeDocument/2006/relationships/table" Target="../tables/table103.xml"/><Relationship Id="rId17" Type="http://schemas.openxmlformats.org/officeDocument/2006/relationships/table" Target="../tables/table104.xml"/><Relationship Id="rId18" Type="http://schemas.openxmlformats.org/officeDocument/2006/relationships/table" Target="../tables/table105.xml"/><Relationship Id="rId19" Type="http://schemas.openxmlformats.org/officeDocument/2006/relationships/table" Target="../tables/table106.xml"/></Relationships>
</file>

<file path=xl/worksheets/_rels/sheet6.xml.rels><?xml version="1.0" encoding="UTF-8" standalone="yes"?>
<Relationships xmlns="http://schemas.openxmlformats.org/package/2006/relationships"><Relationship Id="rId20" Type="http://schemas.openxmlformats.org/officeDocument/2006/relationships/table" Target="../tables/table139.xml"/><Relationship Id="rId21" Type="http://schemas.openxmlformats.org/officeDocument/2006/relationships/table" Target="../tables/table140.xml"/><Relationship Id="rId22" Type="http://schemas.openxmlformats.org/officeDocument/2006/relationships/table" Target="../tables/table141.xml"/><Relationship Id="rId23" Type="http://schemas.openxmlformats.org/officeDocument/2006/relationships/table" Target="../tables/table142.xml"/><Relationship Id="rId24" Type="http://schemas.openxmlformats.org/officeDocument/2006/relationships/table" Target="../tables/table143.xml"/><Relationship Id="rId25" Type="http://schemas.openxmlformats.org/officeDocument/2006/relationships/table" Target="../tables/table144.xml"/><Relationship Id="rId26" Type="http://schemas.openxmlformats.org/officeDocument/2006/relationships/table" Target="../tables/table145.xml"/><Relationship Id="rId27" Type="http://schemas.openxmlformats.org/officeDocument/2006/relationships/table" Target="../tables/table146.xml"/><Relationship Id="rId28" Type="http://schemas.openxmlformats.org/officeDocument/2006/relationships/table" Target="../tables/table147.xml"/><Relationship Id="rId29" Type="http://schemas.openxmlformats.org/officeDocument/2006/relationships/table" Target="../tables/table148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5.xml"/><Relationship Id="rId3" Type="http://schemas.openxmlformats.org/officeDocument/2006/relationships/table" Target="../tables/table122.xml"/><Relationship Id="rId4" Type="http://schemas.openxmlformats.org/officeDocument/2006/relationships/table" Target="../tables/table123.xml"/><Relationship Id="rId5" Type="http://schemas.openxmlformats.org/officeDocument/2006/relationships/table" Target="../tables/table124.xml"/><Relationship Id="rId30" Type="http://schemas.openxmlformats.org/officeDocument/2006/relationships/table" Target="../tables/table149.xml"/><Relationship Id="rId31" Type="http://schemas.openxmlformats.org/officeDocument/2006/relationships/table" Target="../tables/table150.xml"/><Relationship Id="rId32" Type="http://schemas.openxmlformats.org/officeDocument/2006/relationships/table" Target="../tables/table151.xml"/><Relationship Id="rId9" Type="http://schemas.openxmlformats.org/officeDocument/2006/relationships/table" Target="../tables/table128.xml"/><Relationship Id="rId6" Type="http://schemas.openxmlformats.org/officeDocument/2006/relationships/table" Target="../tables/table125.xml"/><Relationship Id="rId7" Type="http://schemas.openxmlformats.org/officeDocument/2006/relationships/table" Target="../tables/table126.xml"/><Relationship Id="rId8" Type="http://schemas.openxmlformats.org/officeDocument/2006/relationships/table" Target="../tables/table127.xml"/><Relationship Id="rId33" Type="http://schemas.openxmlformats.org/officeDocument/2006/relationships/table" Target="../tables/table152.xml"/><Relationship Id="rId34" Type="http://schemas.openxmlformats.org/officeDocument/2006/relationships/table" Target="../tables/table153.xml"/><Relationship Id="rId10" Type="http://schemas.openxmlformats.org/officeDocument/2006/relationships/table" Target="../tables/table129.xml"/><Relationship Id="rId11" Type="http://schemas.openxmlformats.org/officeDocument/2006/relationships/table" Target="../tables/table130.xml"/><Relationship Id="rId12" Type="http://schemas.openxmlformats.org/officeDocument/2006/relationships/table" Target="../tables/table131.xml"/><Relationship Id="rId13" Type="http://schemas.openxmlformats.org/officeDocument/2006/relationships/table" Target="../tables/table132.xml"/><Relationship Id="rId14" Type="http://schemas.openxmlformats.org/officeDocument/2006/relationships/table" Target="../tables/table133.xml"/><Relationship Id="rId15" Type="http://schemas.openxmlformats.org/officeDocument/2006/relationships/table" Target="../tables/table134.xml"/><Relationship Id="rId16" Type="http://schemas.openxmlformats.org/officeDocument/2006/relationships/table" Target="../tables/table135.xml"/><Relationship Id="rId17" Type="http://schemas.openxmlformats.org/officeDocument/2006/relationships/table" Target="../tables/table136.xml"/><Relationship Id="rId18" Type="http://schemas.openxmlformats.org/officeDocument/2006/relationships/table" Target="../tables/table137.xml"/><Relationship Id="rId19" Type="http://schemas.openxmlformats.org/officeDocument/2006/relationships/table" Target="../tables/table138.xml"/></Relationships>
</file>

<file path=xl/worksheets/_rels/sheet7.xml.rels><?xml version="1.0" encoding="UTF-8" standalone="yes"?>
<Relationships xmlns="http://schemas.openxmlformats.org/package/2006/relationships"><Relationship Id="rId20" Type="http://schemas.openxmlformats.org/officeDocument/2006/relationships/table" Target="../tables/table171.xml"/><Relationship Id="rId21" Type="http://schemas.openxmlformats.org/officeDocument/2006/relationships/table" Target="../tables/table172.xml"/><Relationship Id="rId22" Type="http://schemas.openxmlformats.org/officeDocument/2006/relationships/table" Target="../tables/table173.xml"/><Relationship Id="rId23" Type="http://schemas.openxmlformats.org/officeDocument/2006/relationships/table" Target="../tables/table174.xml"/><Relationship Id="rId24" Type="http://schemas.openxmlformats.org/officeDocument/2006/relationships/table" Target="../tables/table175.xml"/><Relationship Id="rId25" Type="http://schemas.openxmlformats.org/officeDocument/2006/relationships/table" Target="../tables/table176.xml"/><Relationship Id="rId26" Type="http://schemas.openxmlformats.org/officeDocument/2006/relationships/table" Target="../tables/table177.xml"/><Relationship Id="rId27" Type="http://schemas.openxmlformats.org/officeDocument/2006/relationships/table" Target="../tables/table178.xml"/><Relationship Id="rId28" Type="http://schemas.openxmlformats.org/officeDocument/2006/relationships/table" Target="../tables/table179.xml"/><Relationship Id="rId29" Type="http://schemas.openxmlformats.org/officeDocument/2006/relationships/table" Target="../tables/table180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6.xml"/><Relationship Id="rId3" Type="http://schemas.openxmlformats.org/officeDocument/2006/relationships/table" Target="../tables/table154.xml"/><Relationship Id="rId4" Type="http://schemas.openxmlformats.org/officeDocument/2006/relationships/table" Target="../tables/table155.xml"/><Relationship Id="rId5" Type="http://schemas.openxmlformats.org/officeDocument/2006/relationships/table" Target="../tables/table156.xml"/><Relationship Id="rId30" Type="http://schemas.openxmlformats.org/officeDocument/2006/relationships/table" Target="../tables/table181.xml"/><Relationship Id="rId31" Type="http://schemas.openxmlformats.org/officeDocument/2006/relationships/table" Target="../tables/table182.xml"/><Relationship Id="rId32" Type="http://schemas.openxmlformats.org/officeDocument/2006/relationships/table" Target="../tables/table183.xml"/><Relationship Id="rId9" Type="http://schemas.openxmlformats.org/officeDocument/2006/relationships/table" Target="../tables/table160.xml"/><Relationship Id="rId6" Type="http://schemas.openxmlformats.org/officeDocument/2006/relationships/table" Target="../tables/table157.xml"/><Relationship Id="rId7" Type="http://schemas.openxmlformats.org/officeDocument/2006/relationships/table" Target="../tables/table158.xml"/><Relationship Id="rId8" Type="http://schemas.openxmlformats.org/officeDocument/2006/relationships/table" Target="../tables/table159.xml"/><Relationship Id="rId33" Type="http://schemas.openxmlformats.org/officeDocument/2006/relationships/table" Target="../tables/table184.xml"/><Relationship Id="rId34" Type="http://schemas.openxmlformats.org/officeDocument/2006/relationships/table" Target="../tables/table185.xml"/><Relationship Id="rId10" Type="http://schemas.openxmlformats.org/officeDocument/2006/relationships/table" Target="../tables/table161.xml"/><Relationship Id="rId11" Type="http://schemas.openxmlformats.org/officeDocument/2006/relationships/table" Target="../tables/table162.xml"/><Relationship Id="rId12" Type="http://schemas.openxmlformats.org/officeDocument/2006/relationships/table" Target="../tables/table163.xml"/><Relationship Id="rId13" Type="http://schemas.openxmlformats.org/officeDocument/2006/relationships/table" Target="../tables/table164.xml"/><Relationship Id="rId14" Type="http://schemas.openxmlformats.org/officeDocument/2006/relationships/table" Target="../tables/table165.xml"/><Relationship Id="rId15" Type="http://schemas.openxmlformats.org/officeDocument/2006/relationships/table" Target="../tables/table166.xml"/><Relationship Id="rId16" Type="http://schemas.openxmlformats.org/officeDocument/2006/relationships/table" Target="../tables/table167.xml"/><Relationship Id="rId17" Type="http://schemas.openxmlformats.org/officeDocument/2006/relationships/table" Target="../tables/table168.xml"/><Relationship Id="rId18" Type="http://schemas.openxmlformats.org/officeDocument/2006/relationships/table" Target="../tables/table169.xml"/><Relationship Id="rId19" Type="http://schemas.openxmlformats.org/officeDocument/2006/relationships/table" Target="../tables/table170.xml"/></Relationships>
</file>

<file path=xl/worksheets/_rels/sheet8.xml.rels><?xml version="1.0" encoding="UTF-8" standalone="yes"?>
<Relationships xmlns="http://schemas.openxmlformats.org/package/2006/relationships"><Relationship Id="rId20" Type="http://schemas.openxmlformats.org/officeDocument/2006/relationships/table" Target="../tables/table203.xml"/><Relationship Id="rId21" Type="http://schemas.openxmlformats.org/officeDocument/2006/relationships/table" Target="../tables/table204.xml"/><Relationship Id="rId22" Type="http://schemas.openxmlformats.org/officeDocument/2006/relationships/table" Target="../tables/table205.xml"/><Relationship Id="rId23" Type="http://schemas.openxmlformats.org/officeDocument/2006/relationships/table" Target="../tables/table206.xml"/><Relationship Id="rId24" Type="http://schemas.openxmlformats.org/officeDocument/2006/relationships/table" Target="../tables/table207.xml"/><Relationship Id="rId25" Type="http://schemas.openxmlformats.org/officeDocument/2006/relationships/table" Target="../tables/table208.xml"/><Relationship Id="rId26" Type="http://schemas.openxmlformats.org/officeDocument/2006/relationships/table" Target="../tables/table209.xml"/><Relationship Id="rId27" Type="http://schemas.openxmlformats.org/officeDocument/2006/relationships/table" Target="../tables/table210.xml"/><Relationship Id="rId28" Type="http://schemas.openxmlformats.org/officeDocument/2006/relationships/table" Target="../tables/table211.xml"/><Relationship Id="rId29" Type="http://schemas.openxmlformats.org/officeDocument/2006/relationships/table" Target="../tables/table212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7.xml"/><Relationship Id="rId3" Type="http://schemas.openxmlformats.org/officeDocument/2006/relationships/table" Target="../tables/table186.xml"/><Relationship Id="rId4" Type="http://schemas.openxmlformats.org/officeDocument/2006/relationships/table" Target="../tables/table187.xml"/><Relationship Id="rId5" Type="http://schemas.openxmlformats.org/officeDocument/2006/relationships/table" Target="../tables/table188.xml"/><Relationship Id="rId30" Type="http://schemas.openxmlformats.org/officeDocument/2006/relationships/table" Target="../tables/table213.xml"/><Relationship Id="rId31" Type="http://schemas.openxmlformats.org/officeDocument/2006/relationships/table" Target="../tables/table214.xml"/><Relationship Id="rId32" Type="http://schemas.openxmlformats.org/officeDocument/2006/relationships/table" Target="../tables/table215.xml"/><Relationship Id="rId9" Type="http://schemas.openxmlformats.org/officeDocument/2006/relationships/table" Target="../tables/table192.xml"/><Relationship Id="rId6" Type="http://schemas.openxmlformats.org/officeDocument/2006/relationships/table" Target="../tables/table189.xml"/><Relationship Id="rId7" Type="http://schemas.openxmlformats.org/officeDocument/2006/relationships/table" Target="../tables/table190.xml"/><Relationship Id="rId8" Type="http://schemas.openxmlformats.org/officeDocument/2006/relationships/table" Target="../tables/table191.xml"/><Relationship Id="rId33" Type="http://schemas.openxmlformats.org/officeDocument/2006/relationships/table" Target="../tables/table216.xml"/><Relationship Id="rId34" Type="http://schemas.openxmlformats.org/officeDocument/2006/relationships/table" Target="../tables/table217.xml"/><Relationship Id="rId10" Type="http://schemas.openxmlformats.org/officeDocument/2006/relationships/table" Target="../tables/table193.xml"/><Relationship Id="rId11" Type="http://schemas.openxmlformats.org/officeDocument/2006/relationships/table" Target="../tables/table194.xml"/><Relationship Id="rId12" Type="http://schemas.openxmlformats.org/officeDocument/2006/relationships/table" Target="../tables/table195.xml"/><Relationship Id="rId13" Type="http://schemas.openxmlformats.org/officeDocument/2006/relationships/table" Target="../tables/table196.xml"/><Relationship Id="rId14" Type="http://schemas.openxmlformats.org/officeDocument/2006/relationships/table" Target="../tables/table197.xml"/><Relationship Id="rId15" Type="http://schemas.openxmlformats.org/officeDocument/2006/relationships/table" Target="../tables/table198.xml"/><Relationship Id="rId16" Type="http://schemas.openxmlformats.org/officeDocument/2006/relationships/table" Target="../tables/table199.xml"/><Relationship Id="rId17" Type="http://schemas.openxmlformats.org/officeDocument/2006/relationships/table" Target="../tables/table200.xml"/><Relationship Id="rId18" Type="http://schemas.openxmlformats.org/officeDocument/2006/relationships/table" Target="../tables/table201.xml"/><Relationship Id="rId19" Type="http://schemas.openxmlformats.org/officeDocument/2006/relationships/table" Target="../tables/table202.xml"/></Relationships>
</file>

<file path=xl/worksheets/_rels/sheet9.xml.rels><?xml version="1.0" encoding="UTF-8" standalone="yes"?>
<Relationships xmlns="http://schemas.openxmlformats.org/package/2006/relationships"><Relationship Id="rId20" Type="http://schemas.openxmlformats.org/officeDocument/2006/relationships/table" Target="../tables/table235.xml"/><Relationship Id="rId21" Type="http://schemas.openxmlformats.org/officeDocument/2006/relationships/table" Target="../tables/table236.xml"/><Relationship Id="rId22" Type="http://schemas.openxmlformats.org/officeDocument/2006/relationships/table" Target="../tables/table237.xml"/><Relationship Id="rId23" Type="http://schemas.openxmlformats.org/officeDocument/2006/relationships/table" Target="../tables/table238.xml"/><Relationship Id="rId24" Type="http://schemas.openxmlformats.org/officeDocument/2006/relationships/table" Target="../tables/table239.xml"/><Relationship Id="rId25" Type="http://schemas.openxmlformats.org/officeDocument/2006/relationships/table" Target="../tables/table240.xml"/><Relationship Id="rId26" Type="http://schemas.openxmlformats.org/officeDocument/2006/relationships/table" Target="../tables/table241.xml"/><Relationship Id="rId27" Type="http://schemas.openxmlformats.org/officeDocument/2006/relationships/table" Target="../tables/table242.xml"/><Relationship Id="rId28" Type="http://schemas.openxmlformats.org/officeDocument/2006/relationships/table" Target="../tables/table243.xml"/><Relationship Id="rId29" Type="http://schemas.openxmlformats.org/officeDocument/2006/relationships/table" Target="../tables/table244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8.xml"/><Relationship Id="rId3" Type="http://schemas.openxmlformats.org/officeDocument/2006/relationships/table" Target="../tables/table218.xml"/><Relationship Id="rId4" Type="http://schemas.openxmlformats.org/officeDocument/2006/relationships/table" Target="../tables/table219.xml"/><Relationship Id="rId5" Type="http://schemas.openxmlformats.org/officeDocument/2006/relationships/table" Target="../tables/table220.xml"/><Relationship Id="rId30" Type="http://schemas.openxmlformats.org/officeDocument/2006/relationships/table" Target="../tables/table245.xml"/><Relationship Id="rId31" Type="http://schemas.openxmlformats.org/officeDocument/2006/relationships/table" Target="../tables/table246.xml"/><Relationship Id="rId32" Type="http://schemas.openxmlformats.org/officeDocument/2006/relationships/table" Target="../tables/table247.xml"/><Relationship Id="rId9" Type="http://schemas.openxmlformats.org/officeDocument/2006/relationships/table" Target="../tables/table224.xml"/><Relationship Id="rId6" Type="http://schemas.openxmlformats.org/officeDocument/2006/relationships/table" Target="../tables/table221.xml"/><Relationship Id="rId7" Type="http://schemas.openxmlformats.org/officeDocument/2006/relationships/table" Target="../tables/table222.xml"/><Relationship Id="rId8" Type="http://schemas.openxmlformats.org/officeDocument/2006/relationships/table" Target="../tables/table223.xml"/><Relationship Id="rId33" Type="http://schemas.openxmlformats.org/officeDocument/2006/relationships/table" Target="../tables/table248.xml"/><Relationship Id="rId34" Type="http://schemas.openxmlformats.org/officeDocument/2006/relationships/table" Target="../tables/table249.xml"/><Relationship Id="rId10" Type="http://schemas.openxmlformats.org/officeDocument/2006/relationships/table" Target="../tables/table225.xml"/><Relationship Id="rId11" Type="http://schemas.openxmlformats.org/officeDocument/2006/relationships/table" Target="../tables/table226.xml"/><Relationship Id="rId12" Type="http://schemas.openxmlformats.org/officeDocument/2006/relationships/table" Target="../tables/table227.xml"/><Relationship Id="rId13" Type="http://schemas.openxmlformats.org/officeDocument/2006/relationships/table" Target="../tables/table228.xml"/><Relationship Id="rId14" Type="http://schemas.openxmlformats.org/officeDocument/2006/relationships/table" Target="../tables/table229.xml"/><Relationship Id="rId15" Type="http://schemas.openxmlformats.org/officeDocument/2006/relationships/table" Target="../tables/table230.xml"/><Relationship Id="rId16" Type="http://schemas.openxmlformats.org/officeDocument/2006/relationships/table" Target="../tables/table231.xml"/><Relationship Id="rId17" Type="http://schemas.openxmlformats.org/officeDocument/2006/relationships/table" Target="../tables/table232.xml"/><Relationship Id="rId18" Type="http://schemas.openxmlformats.org/officeDocument/2006/relationships/table" Target="../tables/table233.xml"/><Relationship Id="rId19" Type="http://schemas.openxmlformats.org/officeDocument/2006/relationships/table" Target="../tables/table23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 enableFormatConditionsCalculation="0"/>
  <dimension ref="B2:AO166"/>
  <sheetViews>
    <sheetView showGridLines="0" workbookViewId="0">
      <pane xSplit="8" topLeftCell="I1" activePane="topRight" state="frozen"/>
      <selection activeCell="A12" sqref="A12"/>
      <selection pane="topRight" activeCell="G4" sqref="G4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  <col min="9" max="39" width="11.33203125" customWidth="1"/>
  </cols>
  <sheetData>
    <row r="2" spans="2:7" ht="24" x14ac:dyDescent="0.3">
      <c r="B2" s="66" t="s">
        <v>130</v>
      </c>
      <c r="C2" s="66"/>
      <c r="D2" s="67" t="s">
        <v>173</v>
      </c>
      <c r="E2" s="68"/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69" t="s">
        <v>144</v>
      </c>
      <c r="C4" s="70"/>
      <c r="D4" s="70"/>
      <c r="E4" s="70"/>
    </row>
    <row r="5" spans="2:7" outlineLevel="1" x14ac:dyDescent="0.2">
      <c r="B5" s="41" t="s">
        <v>147</v>
      </c>
      <c r="C5" s="45" t="s">
        <v>148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132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62" t="s">
        <v>127</v>
      </c>
      <c r="C9" s="62"/>
      <c r="D9" s="34">
        <f>C46</f>
        <v>8320</v>
      </c>
      <c r="E9" s="18"/>
    </row>
    <row r="10" spans="2:7" x14ac:dyDescent="0.2">
      <c r="B10" s="62" t="s">
        <v>131</v>
      </c>
      <c r="C10" s="62"/>
      <c r="D10" s="34">
        <f>C60</f>
        <v>6869.9</v>
      </c>
      <c r="E10" s="18"/>
    </row>
    <row r="11" spans="2:7" x14ac:dyDescent="0.2">
      <c r="B11" s="27"/>
      <c r="C11" s="27"/>
      <c r="D11" s="31"/>
      <c r="E11" s="18"/>
    </row>
    <row r="12" spans="2:7" ht="30" customHeight="1" x14ac:dyDescent="0.2">
      <c r="B12" s="63" t="s">
        <v>133</v>
      </c>
      <c r="C12" s="63"/>
      <c r="D12" s="36">
        <f>D9-D10</f>
        <v>1450.1000000000004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134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62" t="s">
        <v>128</v>
      </c>
      <c r="C16" s="62"/>
      <c r="D16" s="28">
        <f>D46</f>
        <v>7772</v>
      </c>
      <c r="E16" s="18"/>
    </row>
    <row r="17" spans="2:5" x14ac:dyDescent="0.2">
      <c r="B17" s="62" t="s">
        <v>135</v>
      </c>
      <c r="C17" s="62"/>
      <c r="D17" s="28">
        <f>D60</f>
        <v>2055</v>
      </c>
      <c r="E17" s="18"/>
    </row>
    <row r="18" spans="2:5" x14ac:dyDescent="0.2">
      <c r="B18" s="27"/>
      <c r="C18" s="27"/>
      <c r="D18" s="28"/>
      <c r="E18" s="18"/>
    </row>
    <row r="19" spans="2:5" ht="30" customHeight="1" x14ac:dyDescent="0.2">
      <c r="B19" s="63" t="s">
        <v>136</v>
      </c>
      <c r="C19" s="63"/>
      <c r="D19" s="36">
        <f>D16-D17</f>
        <v>5717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64" t="s">
        <v>137</v>
      </c>
      <c r="C21" s="64"/>
      <c r="D21" s="64"/>
      <c r="E21" s="64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60">
        <f>D17</f>
        <v>2055</v>
      </c>
      <c r="C23" s="65"/>
      <c r="D23" s="61"/>
      <c r="E23" s="38">
        <f>IFERROR(D17/D16,"")</f>
        <v>0.26441070509521358</v>
      </c>
    </row>
    <row r="24" spans="2:5" ht="18" x14ac:dyDescent="0.2">
      <c r="B24" s="29"/>
      <c r="D24" s="30"/>
      <c r="E24" s="18"/>
    </row>
    <row r="25" spans="2:5" x14ac:dyDescent="0.2">
      <c r="B25" s="64" t="s">
        <v>138</v>
      </c>
      <c r="C25" s="64"/>
      <c r="D25" s="64"/>
      <c r="E25" s="64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B62</f>
        <v>Jedzenie</v>
      </c>
      <c r="C27" s="60">
        <f>D62</f>
        <v>585</v>
      </c>
      <c r="D27" s="61"/>
      <c r="E27" s="38">
        <f>IFERROR(D62/C62,"")</f>
        <v>0.39</v>
      </c>
    </row>
    <row r="28" spans="2:5" ht="18" customHeight="1" x14ac:dyDescent="0.2">
      <c r="B28" s="29" t="str">
        <f>B69</f>
        <v>Mieszkanie / dom</v>
      </c>
      <c r="C28" s="60">
        <f>D69</f>
        <v>560</v>
      </c>
      <c r="D28" s="61"/>
      <c r="E28" s="38">
        <f>IFERROR(D69/C69,"")</f>
        <v>0.64367816091954022</v>
      </c>
    </row>
    <row r="29" spans="2:5" ht="18" customHeight="1" x14ac:dyDescent="0.2">
      <c r="B29" s="29" t="str">
        <f>B81</f>
        <v>Transport</v>
      </c>
      <c r="C29" s="60">
        <f>D81</f>
        <v>760</v>
      </c>
      <c r="D29" s="61"/>
      <c r="E29" s="38">
        <f>IFERROR(D81/C81,"")</f>
        <v>1.1515151515151516</v>
      </c>
    </row>
    <row r="30" spans="2:5" ht="18" customHeight="1" x14ac:dyDescent="0.2">
      <c r="B30" s="29" t="str">
        <f>B91</f>
        <v>Telekomunikacja</v>
      </c>
      <c r="C30" s="60">
        <f>D91</f>
        <v>30</v>
      </c>
      <c r="D30" s="61"/>
      <c r="E30" s="38">
        <f>IFERROR(D91/C91,"")</f>
        <v>0.14641288433382138</v>
      </c>
    </row>
    <row r="31" spans="2:5" ht="18" customHeight="1" x14ac:dyDescent="0.2">
      <c r="B31" s="29" t="str">
        <f>B98</f>
        <v>Opieka zdrowotna</v>
      </c>
      <c r="C31" s="60">
        <f>D98</f>
        <v>10</v>
      </c>
      <c r="D31" s="61"/>
      <c r="E31" s="38">
        <f>IFERROR(D98/C98,"")</f>
        <v>5.5555555555555552E-2</v>
      </c>
    </row>
    <row r="32" spans="2:5" ht="18" customHeight="1" x14ac:dyDescent="0.2">
      <c r="B32" s="29" t="str">
        <f>B104</f>
        <v>Ubranie</v>
      </c>
      <c r="C32" s="60">
        <f>D104</f>
        <v>85</v>
      </c>
      <c r="D32" s="61"/>
      <c r="E32" s="38">
        <f>IFERROR(D104/C104,"")</f>
        <v>0.34</v>
      </c>
    </row>
    <row r="33" spans="2:39" ht="18" customHeight="1" x14ac:dyDescent="0.2">
      <c r="B33" s="29" t="str">
        <f>B111</f>
        <v>Higiena</v>
      </c>
      <c r="C33" s="60">
        <f>D111</f>
        <v>25</v>
      </c>
      <c r="D33" s="61"/>
      <c r="E33" s="38">
        <f>IFERROR(D111/C111,"")</f>
        <v>0.21739130434782608</v>
      </c>
    </row>
    <row r="34" spans="2:39" ht="18" customHeight="1" x14ac:dyDescent="0.2">
      <c r="B34" s="29" t="str">
        <f>B118</f>
        <v>Dzieci</v>
      </c>
      <c r="C34" s="60">
        <f>D118</f>
        <v>0</v>
      </c>
      <c r="D34" s="61"/>
      <c r="E34" s="38">
        <f>IFERROR(D118/C118,"")</f>
        <v>0</v>
      </c>
    </row>
    <row r="35" spans="2:39" ht="18" customHeight="1" x14ac:dyDescent="0.2">
      <c r="B35" s="29" t="str">
        <f>B126</f>
        <v>Rozrywka</v>
      </c>
      <c r="C35" s="60">
        <f>D126</f>
        <v>0</v>
      </c>
      <c r="D35" s="61"/>
      <c r="E35" s="38">
        <f>IFERROR(D126/C126,"")</f>
        <v>0</v>
      </c>
    </row>
    <row r="36" spans="2:39" ht="18" customHeight="1" x14ac:dyDescent="0.2">
      <c r="B36" s="29" t="str">
        <f>B136</f>
        <v>Inne wydatki</v>
      </c>
      <c r="C36" s="60">
        <f>D136</f>
        <v>0</v>
      </c>
      <c r="D36" s="61"/>
      <c r="E36" s="38">
        <f>IFERROR(D136/C136,"")</f>
        <v>0</v>
      </c>
    </row>
    <row r="37" spans="2:39" ht="18" customHeight="1" x14ac:dyDescent="0.2">
      <c r="B37" s="29" t="str">
        <f>B146</f>
        <v>Spłata długów</v>
      </c>
      <c r="C37" s="60">
        <f>D146</f>
        <v>0</v>
      </c>
      <c r="D37" s="61"/>
      <c r="E37" s="38">
        <f>IFERROR(D146/C146,"")</f>
        <v>0</v>
      </c>
    </row>
    <row r="38" spans="2:39" ht="18" customHeight="1" x14ac:dyDescent="0.2">
      <c r="B38" s="29" t="str">
        <f>B154</f>
        <v>Oszczędności</v>
      </c>
      <c r="C38" s="60">
        <f>D154</f>
        <v>0</v>
      </c>
      <c r="D38" s="61"/>
      <c r="E38" s="38" t="str">
        <f>IFERROR(D154/C154,"")</f>
        <v/>
      </c>
    </row>
    <row r="39" spans="2:39" ht="18" x14ac:dyDescent="0.2">
      <c r="B39" s="29"/>
      <c r="D39" s="30"/>
      <c r="E39" s="18"/>
    </row>
    <row r="40" spans="2:39" x14ac:dyDescent="0.2">
      <c r="B40" s="18"/>
      <c r="C40" s="18"/>
      <c r="D40" s="18"/>
      <c r="E40" s="18"/>
    </row>
    <row r="41" spans="2:39" ht="22" thickBot="1" x14ac:dyDescent="0.3">
      <c r="B41" s="32" t="s">
        <v>42</v>
      </c>
      <c r="C41" s="33"/>
      <c r="D41" s="33"/>
      <c r="E41" s="33"/>
      <c r="F41" s="33"/>
      <c r="G41" s="33"/>
    </row>
    <row r="43" spans="2:39" ht="19" x14ac:dyDescent="0.25">
      <c r="B43" s="44" t="s">
        <v>26</v>
      </c>
    </row>
    <row r="44" spans="2:39" x14ac:dyDescent="0.2">
      <c r="B44" s="1"/>
    </row>
    <row r="45" spans="2:39" ht="30" x14ac:dyDescent="0.2">
      <c r="B45" s="8" t="s">
        <v>0</v>
      </c>
      <c r="C45" s="9" t="s">
        <v>127</v>
      </c>
      <c r="D45" s="10" t="s">
        <v>128</v>
      </c>
      <c r="E45" s="8" t="s">
        <v>129</v>
      </c>
      <c r="F45" s="9" t="s">
        <v>140</v>
      </c>
      <c r="G45" s="8" t="s">
        <v>41</v>
      </c>
    </row>
    <row r="46" spans="2:39" ht="26" customHeight="1" x14ac:dyDescent="0.2">
      <c r="B46" s="39" t="s">
        <v>139</v>
      </c>
      <c r="C46" s="40">
        <f>C48</f>
        <v>8320</v>
      </c>
      <c r="D46" s="40">
        <f>D48</f>
        <v>7772</v>
      </c>
      <c r="E46" s="40">
        <f>D46-C46</f>
        <v>-548</v>
      </c>
      <c r="F46" s="8" t="s">
        <v>141</v>
      </c>
      <c r="G46" s="8"/>
    </row>
    <row r="47" spans="2:39" x14ac:dyDescent="0.2">
      <c r="B47" s="1"/>
    </row>
    <row r="48" spans="2:39" x14ac:dyDescent="0.2">
      <c r="B48" s="14" t="s">
        <v>32</v>
      </c>
      <c r="C48" s="15">
        <f>SUM(Tabela7[[#All],[Kolumna2]])</f>
        <v>8320</v>
      </c>
      <c r="D48" s="16">
        <f>SUM(Tabela7[[#All],[Kolumna3]])</f>
        <v>7772</v>
      </c>
      <c r="E48" s="15">
        <f>D48-C48</f>
        <v>-548</v>
      </c>
      <c r="F48" s="17">
        <f>IFERROR(D48/C48,"")</f>
        <v>0.9341346153846154</v>
      </c>
      <c r="G48" s="15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2:39" x14ac:dyDescent="0.2">
      <c r="B49" s="22" t="s">
        <v>34</v>
      </c>
      <c r="C49" s="19">
        <v>4700</v>
      </c>
      <c r="D49" s="19">
        <v>4700</v>
      </c>
      <c r="E49" s="20">
        <f>Tabela7[[#This Row],[Kolumna3]]-Tabela7[[#This Row],[Kolumna2]]</f>
        <v>0</v>
      </c>
      <c r="F49" s="21">
        <f t="shared" ref="F49:F55" si="0">IFERROR(D49/C49,"")</f>
        <v>1</v>
      </c>
      <c r="G49" s="2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2:39" ht="30" x14ac:dyDescent="0.2">
      <c r="B50" s="22" t="s">
        <v>35</v>
      </c>
      <c r="C50" s="19">
        <v>2800</v>
      </c>
      <c r="D50" s="19">
        <v>2800</v>
      </c>
      <c r="E50" s="20">
        <f>Tabela7[[#This Row],[Kolumna3]]-Tabela7[[#This Row],[Kolumna2]]</f>
        <v>0</v>
      </c>
      <c r="F50" s="21">
        <f t="shared" si="0"/>
        <v>1</v>
      </c>
      <c r="G50" s="2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2:39" x14ac:dyDescent="0.2">
      <c r="B51" s="22" t="s">
        <v>38</v>
      </c>
      <c r="C51" s="19">
        <v>500</v>
      </c>
      <c r="D51" s="19">
        <v>0</v>
      </c>
      <c r="E51" s="20">
        <f>Tabela7[[#This Row],[Kolumna3]]-Tabela7[[#This Row],[Kolumna2]]</f>
        <v>-500</v>
      </c>
      <c r="F51" s="21">
        <f t="shared" si="0"/>
        <v>0</v>
      </c>
      <c r="G51" s="2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2:39" x14ac:dyDescent="0.2">
      <c r="B52" s="22" t="s">
        <v>36</v>
      </c>
      <c r="C52" s="19">
        <v>50</v>
      </c>
      <c r="D52" s="19">
        <v>0</v>
      </c>
      <c r="E52" s="20">
        <f>Tabela7[[#This Row],[Kolumna3]]-Tabela7[[#This Row],[Kolumna2]]</f>
        <v>-50</v>
      </c>
      <c r="F52" s="21">
        <f t="shared" si="0"/>
        <v>0</v>
      </c>
      <c r="G52" s="2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x14ac:dyDescent="0.2">
      <c r="B53" s="22" t="s">
        <v>37</v>
      </c>
      <c r="C53" s="19">
        <v>270</v>
      </c>
      <c r="D53" s="19">
        <v>272</v>
      </c>
      <c r="E53" s="20">
        <f>Tabela7[[#This Row],[Kolumna3]]-Tabela7[[#This Row],[Kolumna2]]</f>
        <v>2</v>
      </c>
      <c r="F53" s="21">
        <f t="shared" si="0"/>
        <v>1.0074074074074073</v>
      </c>
      <c r="G53" s="2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x14ac:dyDescent="0.2">
      <c r="B54" s="22" t="s">
        <v>39</v>
      </c>
      <c r="C54" s="19">
        <v>0</v>
      </c>
      <c r="D54" s="19">
        <v>0</v>
      </c>
      <c r="E54" s="20">
        <f>Tabela7[[#This Row],[Kolumna3]]-Tabela7[[#This Row],[Kolumna2]]</f>
        <v>0</v>
      </c>
      <c r="F54" s="21" t="str">
        <f t="shared" si="0"/>
        <v/>
      </c>
      <c r="G54" s="2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x14ac:dyDescent="0.2">
      <c r="B55" s="22" t="s">
        <v>40</v>
      </c>
      <c r="C55" s="19">
        <v>0</v>
      </c>
      <c r="D55" s="19">
        <v>0</v>
      </c>
      <c r="E55" s="20">
        <f>Tabela7[[#This Row],[Kolumna3]]-Tabela7[[#This Row],[Kolumna2]]</f>
        <v>0</v>
      </c>
      <c r="F55" s="21" t="str">
        <f t="shared" si="0"/>
        <v/>
      </c>
      <c r="G55" s="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x14ac:dyDescent="0.2">
      <c r="B56" s="5" t="s">
        <v>30</v>
      </c>
    </row>
    <row r="57" spans="2:39" ht="21" x14ac:dyDescent="0.25">
      <c r="B57" s="44" t="s">
        <v>25</v>
      </c>
      <c r="I57" s="7" t="s">
        <v>43</v>
      </c>
    </row>
    <row r="59" spans="2:39" ht="30" x14ac:dyDescent="0.2">
      <c r="B59" s="8" t="s">
        <v>0</v>
      </c>
      <c r="C59" s="9" t="s">
        <v>131</v>
      </c>
      <c r="D59" s="10" t="s">
        <v>135</v>
      </c>
      <c r="E59" s="8" t="s">
        <v>129</v>
      </c>
      <c r="F59" s="9" t="s">
        <v>140</v>
      </c>
      <c r="G59" s="8" t="s">
        <v>41</v>
      </c>
      <c r="I59" s="41" t="s">
        <v>142</v>
      </c>
    </row>
    <row r="60" spans="2:39" ht="24" customHeight="1" x14ac:dyDescent="0.2">
      <c r="B60" s="39" t="s">
        <v>139</v>
      </c>
      <c r="C60" s="40">
        <f>C62+C69+C81+C91+C98+C104+C111+C118+C126+C136+C146+C154</f>
        <v>6869.9</v>
      </c>
      <c r="D60" s="40">
        <f>D62+D69+D81+D91+D98+D104+D111+D118+D126+D136+D146+D154</f>
        <v>2055</v>
      </c>
      <c r="E60" s="40">
        <f>C60-D60</f>
        <v>4814.8999999999996</v>
      </c>
      <c r="F60" s="8" t="s">
        <v>141</v>
      </c>
      <c r="G60" s="8"/>
      <c r="I60" s="43">
        <f t="shared" ref="I60:AM60" si="1">SUM(I62:I162)</f>
        <v>1835</v>
      </c>
      <c r="J60" s="43">
        <f t="shared" si="1"/>
        <v>0</v>
      </c>
      <c r="K60" s="43">
        <f t="shared" si="1"/>
        <v>0</v>
      </c>
      <c r="L60" s="43">
        <f t="shared" si="1"/>
        <v>0</v>
      </c>
      <c r="M60" s="43">
        <f t="shared" si="1"/>
        <v>0</v>
      </c>
      <c r="N60" s="43">
        <f t="shared" si="1"/>
        <v>60</v>
      </c>
      <c r="O60" s="43">
        <f t="shared" si="1"/>
        <v>0</v>
      </c>
      <c r="P60" s="43">
        <f t="shared" si="1"/>
        <v>0</v>
      </c>
      <c r="Q60" s="43">
        <f t="shared" si="1"/>
        <v>0</v>
      </c>
      <c r="R60" s="43">
        <f t="shared" si="1"/>
        <v>0</v>
      </c>
      <c r="S60" s="43">
        <f t="shared" si="1"/>
        <v>120</v>
      </c>
      <c r="T60" s="43">
        <f t="shared" si="1"/>
        <v>0</v>
      </c>
      <c r="U60" s="43">
        <f t="shared" si="1"/>
        <v>0</v>
      </c>
      <c r="V60" s="43">
        <f t="shared" si="1"/>
        <v>40</v>
      </c>
      <c r="W60" s="43">
        <f t="shared" si="1"/>
        <v>0</v>
      </c>
      <c r="X60" s="43">
        <f t="shared" si="1"/>
        <v>0</v>
      </c>
      <c r="Y60" s="43">
        <f t="shared" si="1"/>
        <v>0</v>
      </c>
      <c r="Z60" s="43">
        <f t="shared" si="1"/>
        <v>0</v>
      </c>
      <c r="AA60" s="43">
        <f t="shared" si="1"/>
        <v>0</v>
      </c>
      <c r="AB60" s="43">
        <f t="shared" si="1"/>
        <v>0</v>
      </c>
      <c r="AC60" s="43">
        <f t="shared" si="1"/>
        <v>0</v>
      </c>
      <c r="AD60" s="43">
        <f t="shared" si="1"/>
        <v>0</v>
      </c>
      <c r="AE60" s="43">
        <f t="shared" si="1"/>
        <v>0</v>
      </c>
      <c r="AF60" s="43">
        <f t="shared" si="1"/>
        <v>0</v>
      </c>
      <c r="AG60" s="43">
        <f t="shared" si="1"/>
        <v>0</v>
      </c>
      <c r="AH60" s="43">
        <f t="shared" si="1"/>
        <v>0</v>
      </c>
      <c r="AI60" s="43">
        <f t="shared" si="1"/>
        <v>0</v>
      </c>
      <c r="AJ60" s="43">
        <f t="shared" si="1"/>
        <v>0</v>
      </c>
      <c r="AK60" s="43">
        <f t="shared" si="1"/>
        <v>0</v>
      </c>
      <c r="AL60" s="43">
        <f t="shared" si="1"/>
        <v>0</v>
      </c>
      <c r="AM60" s="43">
        <f t="shared" si="1"/>
        <v>0</v>
      </c>
    </row>
    <row r="62" spans="2:39" x14ac:dyDescent="0.2">
      <c r="B62" s="14" t="s">
        <v>1</v>
      </c>
      <c r="C62" s="15">
        <f>SUM(Jedzenie[[#All],[0]])</f>
        <v>1500</v>
      </c>
      <c r="D62" s="16">
        <f>SUM(Jedzenie[[#All],[02]])</f>
        <v>585</v>
      </c>
      <c r="E62" s="15">
        <f t="shared" ref="E62:E67" si="2">C62-D62</f>
        <v>915</v>
      </c>
      <c r="F62" s="17">
        <f t="shared" ref="F62:F67" si="3">IFERROR(D62/C62,"")</f>
        <v>0.39</v>
      </c>
      <c r="G62" s="23"/>
      <c r="I62" s="11" t="s">
        <v>44</v>
      </c>
      <c r="J62" s="11" t="s">
        <v>45</v>
      </c>
      <c r="K62" s="11" t="s">
        <v>46</v>
      </c>
      <c r="L62" s="11" t="s">
        <v>47</v>
      </c>
      <c r="M62" s="11" t="s">
        <v>48</v>
      </c>
      <c r="N62" s="11" t="s">
        <v>49</v>
      </c>
      <c r="O62" s="11" t="s">
        <v>50</v>
      </c>
      <c r="P62" s="11" t="s">
        <v>51</v>
      </c>
      <c r="Q62" s="11" t="s">
        <v>52</v>
      </c>
      <c r="R62" s="11" t="s">
        <v>53</v>
      </c>
      <c r="S62" s="11" t="s">
        <v>54</v>
      </c>
      <c r="T62" s="11" t="s">
        <v>55</v>
      </c>
      <c r="U62" s="11" t="s">
        <v>56</v>
      </c>
      <c r="V62" s="11" t="s">
        <v>57</v>
      </c>
      <c r="W62" s="11" t="s">
        <v>58</v>
      </c>
      <c r="X62" s="11" t="s">
        <v>59</v>
      </c>
      <c r="Y62" s="11" t="s">
        <v>60</v>
      </c>
      <c r="Z62" s="11" t="s">
        <v>61</v>
      </c>
      <c r="AA62" s="11" t="s">
        <v>62</v>
      </c>
      <c r="AB62" s="11" t="s">
        <v>63</v>
      </c>
      <c r="AC62" s="11" t="s">
        <v>64</v>
      </c>
      <c r="AD62" s="11" t="s">
        <v>65</v>
      </c>
      <c r="AE62" s="11" t="s">
        <v>66</v>
      </c>
      <c r="AF62" s="11" t="s">
        <v>67</v>
      </c>
      <c r="AG62" s="11" t="s">
        <v>68</v>
      </c>
      <c r="AH62" s="11" t="s">
        <v>69</v>
      </c>
      <c r="AI62" s="11" t="s">
        <v>70</v>
      </c>
      <c r="AJ62" s="11" t="s">
        <v>71</v>
      </c>
      <c r="AK62" s="11" t="s">
        <v>72</v>
      </c>
      <c r="AL62" s="11" t="s">
        <v>73</v>
      </c>
      <c r="AM62" s="11" t="s">
        <v>74</v>
      </c>
    </row>
    <row r="63" spans="2:39" x14ac:dyDescent="0.2">
      <c r="B63" s="22" t="s">
        <v>2</v>
      </c>
      <c r="C63" s="19">
        <v>1300</v>
      </c>
      <c r="D63" s="20">
        <f>SUM(Tabela3[#This Row])</f>
        <v>250</v>
      </c>
      <c r="E63" s="20">
        <f t="shared" si="2"/>
        <v>1050</v>
      </c>
      <c r="F63" s="21">
        <f t="shared" si="3"/>
        <v>0.19230769230769232</v>
      </c>
      <c r="G63" s="24"/>
      <c r="I63" s="12">
        <v>30</v>
      </c>
      <c r="J63" s="12"/>
      <c r="K63" s="12"/>
      <c r="L63" s="12"/>
      <c r="M63" s="12"/>
      <c r="N63" s="12">
        <v>60</v>
      </c>
      <c r="O63" s="12"/>
      <c r="P63" s="12"/>
      <c r="Q63" s="12"/>
      <c r="R63" s="12"/>
      <c r="S63" s="12">
        <v>120</v>
      </c>
      <c r="T63" s="12"/>
      <c r="U63" s="12"/>
      <c r="V63" s="12">
        <v>40</v>
      </c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x14ac:dyDescent="0.2">
      <c r="B64" s="22" t="s">
        <v>3</v>
      </c>
      <c r="C64" s="19">
        <v>200</v>
      </c>
      <c r="D64" s="20">
        <f>SUM(Tabela3[#This Row])</f>
        <v>100</v>
      </c>
      <c r="E64" s="20">
        <f t="shared" si="2"/>
        <v>100</v>
      </c>
      <c r="F64" s="21">
        <f t="shared" si="3"/>
        <v>0.5</v>
      </c>
      <c r="G64" s="24" t="s">
        <v>145</v>
      </c>
      <c r="I64" s="12">
        <v>100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:41" x14ac:dyDescent="0.2">
      <c r="B65" s="22" t="s">
        <v>4</v>
      </c>
      <c r="C65" s="19">
        <v>0</v>
      </c>
      <c r="D65" s="20">
        <f>SUM(Tabela3[#This Row])</f>
        <v>200</v>
      </c>
      <c r="E65" s="20">
        <f t="shared" si="2"/>
        <v>-200</v>
      </c>
      <c r="F65" s="21" t="str">
        <f t="shared" si="3"/>
        <v/>
      </c>
      <c r="G65" s="24"/>
      <c r="I65" s="12">
        <v>200</v>
      </c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41" x14ac:dyDescent="0.2">
      <c r="B66" s="22" t="s">
        <v>5</v>
      </c>
      <c r="C66" s="19">
        <v>0</v>
      </c>
      <c r="D66" s="20">
        <f>SUM(Tabela3[#This Row])</f>
        <v>35</v>
      </c>
      <c r="E66" s="20">
        <f t="shared" si="2"/>
        <v>-35</v>
      </c>
      <c r="F66" s="21" t="str">
        <f t="shared" si="3"/>
        <v/>
      </c>
      <c r="G66" s="24"/>
      <c r="I66" s="12">
        <v>35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:41" x14ac:dyDescent="0.2">
      <c r="B67" s="22" t="s">
        <v>9</v>
      </c>
      <c r="C67" s="19">
        <v>0</v>
      </c>
      <c r="D67" s="20">
        <f>SUM(Tabela3[#This Row])</f>
        <v>0</v>
      </c>
      <c r="E67" s="20">
        <f t="shared" si="2"/>
        <v>0</v>
      </c>
      <c r="F67" s="21" t="str">
        <f t="shared" si="3"/>
        <v/>
      </c>
      <c r="G67" s="24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2:41" x14ac:dyDescent="0.2">
      <c r="B68" s="5" t="s">
        <v>30</v>
      </c>
      <c r="C68" s="6"/>
      <c r="D68" s="4"/>
      <c r="E68" s="4"/>
      <c r="F68" s="4"/>
      <c r="G68" s="4"/>
      <c r="I68" s="5" t="s">
        <v>30</v>
      </c>
    </row>
    <row r="69" spans="2:41" x14ac:dyDescent="0.2">
      <c r="B69" s="14" t="s">
        <v>10</v>
      </c>
      <c r="C69" s="15">
        <f>SUM(Tabela4[[#All],[Kolumna2]])</f>
        <v>870</v>
      </c>
      <c r="D69" s="16">
        <f>SUM(Tabela4[[#All],[Kolumna3]])</f>
        <v>560</v>
      </c>
      <c r="E69" s="15">
        <f>C69-D69</f>
        <v>310</v>
      </c>
      <c r="F69" s="17">
        <f>IFERROR(D69/C69,"")</f>
        <v>0.64367816091954022</v>
      </c>
      <c r="G69" s="23"/>
      <c r="I69" s="11" t="s">
        <v>44</v>
      </c>
      <c r="J69" s="11" t="s">
        <v>45</v>
      </c>
      <c r="K69" s="11" t="s">
        <v>46</v>
      </c>
      <c r="L69" s="11" t="s">
        <v>47</v>
      </c>
      <c r="M69" s="11" t="s">
        <v>48</v>
      </c>
      <c r="N69" s="11" t="s">
        <v>49</v>
      </c>
      <c r="O69" s="11" t="s">
        <v>50</v>
      </c>
      <c r="P69" s="11" t="s">
        <v>51</v>
      </c>
      <c r="Q69" s="11" t="s">
        <v>52</v>
      </c>
      <c r="R69" s="11" t="s">
        <v>53</v>
      </c>
      <c r="S69" s="11" t="s">
        <v>54</v>
      </c>
      <c r="T69" s="11" t="s">
        <v>55</v>
      </c>
      <c r="U69" s="11" t="s">
        <v>56</v>
      </c>
      <c r="V69" s="11" t="s">
        <v>57</v>
      </c>
      <c r="W69" s="11" t="s">
        <v>58</v>
      </c>
      <c r="X69" s="11" t="s">
        <v>59</v>
      </c>
      <c r="Y69" s="11" t="s">
        <v>60</v>
      </c>
      <c r="Z69" s="11" t="s">
        <v>61</v>
      </c>
      <c r="AA69" s="11" t="s">
        <v>62</v>
      </c>
      <c r="AB69" s="11" t="s">
        <v>63</v>
      </c>
      <c r="AC69" s="11" t="s">
        <v>64</v>
      </c>
      <c r="AD69" s="11" t="s">
        <v>65</v>
      </c>
      <c r="AE69" s="11" t="s">
        <v>66</v>
      </c>
      <c r="AF69" s="11" t="s">
        <v>67</v>
      </c>
      <c r="AG69" s="11" t="s">
        <v>68</v>
      </c>
      <c r="AH69" s="11" t="s">
        <v>69</v>
      </c>
      <c r="AI69" s="11" t="s">
        <v>70</v>
      </c>
      <c r="AJ69" s="11" t="s">
        <v>71</v>
      </c>
      <c r="AK69" s="11" t="s">
        <v>72</v>
      </c>
      <c r="AL69" s="11" t="s">
        <v>73</v>
      </c>
      <c r="AM69" s="11" t="s">
        <v>74</v>
      </c>
      <c r="AN69" s="25"/>
      <c r="AO69" s="25"/>
    </row>
    <row r="70" spans="2:41" x14ac:dyDescent="0.2">
      <c r="B70" s="22" t="s">
        <v>11</v>
      </c>
      <c r="C70" s="19">
        <v>560</v>
      </c>
      <c r="D70" s="20">
        <f>SUM(Tabela18[#This Row])</f>
        <v>560</v>
      </c>
      <c r="E70" s="20">
        <f t="shared" ref="E70:E79" si="4">C70-D70</f>
        <v>0</v>
      </c>
      <c r="F70" s="21">
        <f t="shared" ref="F70:F79" si="5">IFERROR(D70/C70,"")</f>
        <v>1</v>
      </c>
      <c r="G70" s="24"/>
      <c r="I70" s="12">
        <v>560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25"/>
      <c r="AO70" s="25"/>
    </row>
    <row r="71" spans="2:41" x14ac:dyDescent="0.2">
      <c r="B71" s="22" t="s">
        <v>14</v>
      </c>
      <c r="C71" s="19">
        <v>0</v>
      </c>
      <c r="D71" s="20">
        <f>SUM(Tabela18[#This Row])</f>
        <v>0</v>
      </c>
      <c r="E71" s="20">
        <f t="shared" si="4"/>
        <v>0</v>
      </c>
      <c r="F71" s="21" t="str">
        <f t="shared" si="5"/>
        <v/>
      </c>
      <c r="G71" s="24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25"/>
      <c r="AO71" s="25"/>
    </row>
    <row r="72" spans="2:41" x14ac:dyDescent="0.2">
      <c r="B72" s="22" t="s">
        <v>12</v>
      </c>
      <c r="C72" s="19">
        <v>120</v>
      </c>
      <c r="D72" s="20">
        <f>SUM(Tabela18[#This Row])</f>
        <v>0</v>
      </c>
      <c r="E72" s="20">
        <f t="shared" si="4"/>
        <v>120</v>
      </c>
      <c r="F72" s="21">
        <f t="shared" si="5"/>
        <v>0</v>
      </c>
      <c r="G72" s="24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25"/>
      <c r="AO72" s="25"/>
    </row>
    <row r="73" spans="2:41" x14ac:dyDescent="0.2">
      <c r="B73" s="22" t="s">
        <v>13</v>
      </c>
      <c r="C73" s="19">
        <v>0</v>
      </c>
      <c r="D73" s="20">
        <f>SUM(Tabela18[#This Row])</f>
        <v>0</v>
      </c>
      <c r="E73" s="20">
        <f t="shared" si="4"/>
        <v>0</v>
      </c>
      <c r="F73" s="21" t="str">
        <f t="shared" si="5"/>
        <v/>
      </c>
      <c r="G73" s="24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25"/>
      <c r="AO73" s="25"/>
    </row>
    <row r="74" spans="2:41" x14ac:dyDescent="0.2">
      <c r="B74" s="22" t="s">
        <v>33</v>
      </c>
      <c r="C74" s="19">
        <v>0</v>
      </c>
      <c r="D74" s="20">
        <f>SUM(Tabela18[#This Row])</f>
        <v>0</v>
      </c>
      <c r="E74" s="20">
        <f t="shared" si="4"/>
        <v>0</v>
      </c>
      <c r="F74" s="21" t="str">
        <f t="shared" si="5"/>
        <v/>
      </c>
      <c r="G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25"/>
      <c r="AO74" s="25"/>
    </row>
    <row r="75" spans="2:41" x14ac:dyDescent="0.2">
      <c r="B75" s="22" t="s">
        <v>15</v>
      </c>
      <c r="C75" s="19">
        <v>0</v>
      </c>
      <c r="D75" s="20">
        <f>SUM(Tabela18[#This Row])</f>
        <v>0</v>
      </c>
      <c r="E75" s="20">
        <f t="shared" si="4"/>
        <v>0</v>
      </c>
      <c r="F75" s="21" t="str">
        <f t="shared" si="5"/>
        <v/>
      </c>
      <c r="G75" s="2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25"/>
      <c r="AO75" s="25"/>
    </row>
    <row r="76" spans="2:41" x14ac:dyDescent="0.2">
      <c r="B76" s="22" t="s">
        <v>16</v>
      </c>
      <c r="C76" s="19">
        <v>0</v>
      </c>
      <c r="D76" s="20">
        <f>SUM(Tabela18[#This Row])</f>
        <v>0</v>
      </c>
      <c r="E76" s="20">
        <f t="shared" si="4"/>
        <v>0</v>
      </c>
      <c r="F76" s="21" t="str">
        <f t="shared" si="5"/>
        <v/>
      </c>
      <c r="G76" s="2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25"/>
      <c r="AO76" s="25"/>
    </row>
    <row r="77" spans="2:41" x14ac:dyDescent="0.2">
      <c r="B77" s="22" t="s">
        <v>17</v>
      </c>
      <c r="C77" s="19">
        <v>150</v>
      </c>
      <c r="D77" s="20">
        <f>SUM(Tabela18[#This Row])</f>
        <v>0</v>
      </c>
      <c r="E77" s="20">
        <f t="shared" si="4"/>
        <v>150</v>
      </c>
      <c r="F77" s="21">
        <f t="shared" si="5"/>
        <v>0</v>
      </c>
      <c r="G77" s="2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25"/>
      <c r="AO77" s="25"/>
    </row>
    <row r="78" spans="2:41" x14ac:dyDescent="0.2">
      <c r="B78" s="22" t="s">
        <v>104</v>
      </c>
      <c r="C78" s="19">
        <v>40</v>
      </c>
      <c r="D78" s="20">
        <f>SUM(Tabela18[#This Row])</f>
        <v>0</v>
      </c>
      <c r="E78" s="20">
        <f t="shared" si="4"/>
        <v>40</v>
      </c>
      <c r="F78" s="21">
        <f t="shared" si="5"/>
        <v>0</v>
      </c>
      <c r="G78" s="2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25"/>
      <c r="AO78" s="25"/>
    </row>
    <row r="79" spans="2:41" x14ac:dyDescent="0.2">
      <c r="B79" s="22" t="s">
        <v>9</v>
      </c>
      <c r="C79" s="19">
        <v>0</v>
      </c>
      <c r="D79" s="20">
        <f>SUM(Tabela18[#This Row])</f>
        <v>0</v>
      </c>
      <c r="E79" s="20">
        <f t="shared" si="4"/>
        <v>0</v>
      </c>
      <c r="F79" s="21" t="str">
        <f t="shared" si="5"/>
        <v/>
      </c>
      <c r="G79" s="2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25"/>
      <c r="AO79" s="25"/>
    </row>
    <row r="80" spans="2:41" x14ac:dyDescent="0.2">
      <c r="B80" s="5" t="s">
        <v>30</v>
      </c>
      <c r="C80" s="6"/>
      <c r="D80" s="4"/>
      <c r="E80" s="4"/>
      <c r="F80" s="4"/>
      <c r="G80" s="4"/>
      <c r="I80" s="26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</row>
    <row r="81" spans="2:41" x14ac:dyDescent="0.2">
      <c r="B81" s="2" t="s">
        <v>6</v>
      </c>
      <c r="C81" s="3">
        <f>SUM(Transport[[#All],[Kolumna2]])</f>
        <v>660</v>
      </c>
      <c r="D81" s="16">
        <f>SUM(Transport[[#All],[Kolumna3]])</f>
        <v>760</v>
      </c>
      <c r="E81" s="3">
        <f>C81-D81</f>
        <v>-100</v>
      </c>
      <c r="F81" s="17">
        <f>IFERROR(D81/C81,"")</f>
        <v>1.1515151515151516</v>
      </c>
      <c r="G81" s="3"/>
      <c r="I81" s="11" t="s">
        <v>44</v>
      </c>
      <c r="J81" s="11" t="s">
        <v>45</v>
      </c>
      <c r="K81" s="11" t="s">
        <v>46</v>
      </c>
      <c r="L81" s="11" t="s">
        <v>47</v>
      </c>
      <c r="M81" s="11" t="s">
        <v>48</v>
      </c>
      <c r="N81" s="11" t="s">
        <v>49</v>
      </c>
      <c r="O81" s="11" t="s">
        <v>50</v>
      </c>
      <c r="P81" s="11" t="s">
        <v>51</v>
      </c>
      <c r="Q81" s="11" t="s">
        <v>52</v>
      </c>
      <c r="R81" s="11" t="s">
        <v>53</v>
      </c>
      <c r="S81" s="11" t="s">
        <v>54</v>
      </c>
      <c r="T81" s="11" t="s">
        <v>55</v>
      </c>
      <c r="U81" s="11" t="s">
        <v>56</v>
      </c>
      <c r="V81" s="11" t="s">
        <v>57</v>
      </c>
      <c r="W81" s="11" t="s">
        <v>58</v>
      </c>
      <c r="X81" s="11" t="s">
        <v>59</v>
      </c>
      <c r="Y81" s="11" t="s">
        <v>60</v>
      </c>
      <c r="Z81" s="11" t="s">
        <v>61</v>
      </c>
      <c r="AA81" s="11" t="s">
        <v>62</v>
      </c>
      <c r="AB81" s="11" t="s">
        <v>63</v>
      </c>
      <c r="AC81" s="11" t="s">
        <v>64</v>
      </c>
      <c r="AD81" s="11" t="s">
        <v>65</v>
      </c>
      <c r="AE81" s="11" t="s">
        <v>66</v>
      </c>
      <c r="AF81" s="11" t="s">
        <v>67</v>
      </c>
      <c r="AG81" s="11" t="s">
        <v>68</v>
      </c>
      <c r="AH81" s="11" t="s">
        <v>69</v>
      </c>
      <c r="AI81" s="11" t="s">
        <v>70</v>
      </c>
      <c r="AJ81" s="11" t="s">
        <v>71</v>
      </c>
      <c r="AK81" s="11" t="s">
        <v>72</v>
      </c>
      <c r="AL81" s="11" t="s">
        <v>73</v>
      </c>
      <c r="AM81" s="11" t="s">
        <v>74</v>
      </c>
      <c r="AN81" s="25"/>
      <c r="AO81" s="25"/>
    </row>
    <row r="82" spans="2:41" x14ac:dyDescent="0.2">
      <c r="B82" s="22" t="s">
        <v>91</v>
      </c>
      <c r="C82" s="19">
        <v>400</v>
      </c>
      <c r="D82" s="20">
        <f>SUM(Tabela19[#This Row])</f>
        <v>660</v>
      </c>
      <c r="E82" s="20">
        <f t="shared" ref="E82:E89" si="6">C82-D82</f>
        <v>-260</v>
      </c>
      <c r="F82" s="21">
        <f t="shared" ref="F82:F89" si="7">IFERROR(D82/C82,"")</f>
        <v>1.65</v>
      </c>
      <c r="G82" s="24"/>
      <c r="I82" s="12">
        <v>660</v>
      </c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25"/>
      <c r="AO82" s="25"/>
    </row>
    <row r="83" spans="2:41" x14ac:dyDescent="0.2">
      <c r="B83" s="22" t="s">
        <v>92</v>
      </c>
      <c r="C83" s="19">
        <v>100</v>
      </c>
      <c r="D83" s="20">
        <f>SUM(Tabela19[#This Row])</f>
        <v>100</v>
      </c>
      <c r="E83" s="20">
        <f t="shared" si="6"/>
        <v>0</v>
      </c>
      <c r="F83" s="21">
        <f t="shared" si="7"/>
        <v>1</v>
      </c>
      <c r="G83" s="24"/>
      <c r="I83" s="12">
        <v>100</v>
      </c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25"/>
      <c r="AO83" s="25"/>
    </row>
    <row r="84" spans="2:41" ht="30" x14ac:dyDescent="0.2">
      <c r="B84" s="22" t="s">
        <v>89</v>
      </c>
      <c r="C84" s="19">
        <v>0</v>
      </c>
      <c r="D84" s="20">
        <f>SUM(Tabela19[#This Row])</f>
        <v>0</v>
      </c>
      <c r="E84" s="20">
        <f t="shared" si="6"/>
        <v>0</v>
      </c>
      <c r="F84" s="21" t="str">
        <f t="shared" si="7"/>
        <v/>
      </c>
      <c r="G84" s="24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25"/>
      <c r="AO84" s="25"/>
    </row>
    <row r="85" spans="2:41" x14ac:dyDescent="0.2">
      <c r="B85" s="22" t="s">
        <v>90</v>
      </c>
      <c r="C85" s="19">
        <v>100</v>
      </c>
      <c r="D85" s="20">
        <f>SUM(Tabela19[#This Row])</f>
        <v>0</v>
      </c>
      <c r="E85" s="20">
        <f t="shared" si="6"/>
        <v>100</v>
      </c>
      <c r="F85" s="21">
        <f t="shared" si="7"/>
        <v>0</v>
      </c>
      <c r="G85" s="24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25"/>
      <c r="AO85" s="25"/>
    </row>
    <row r="86" spans="2:41" x14ac:dyDescent="0.2">
      <c r="B86" s="22" t="s">
        <v>7</v>
      </c>
      <c r="C86" s="19">
        <v>60</v>
      </c>
      <c r="D86" s="20">
        <f>SUM(Tabela19[#This Row])</f>
        <v>0</v>
      </c>
      <c r="E86" s="20">
        <f t="shared" si="6"/>
        <v>60</v>
      </c>
      <c r="F86" s="21">
        <f t="shared" si="7"/>
        <v>0</v>
      </c>
      <c r="G86" s="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25"/>
      <c r="AO86" s="25"/>
    </row>
    <row r="87" spans="2:41" x14ac:dyDescent="0.2">
      <c r="B87" s="22" t="s">
        <v>93</v>
      </c>
      <c r="C87" s="19">
        <v>0</v>
      </c>
      <c r="D87" s="20">
        <f>SUM(Tabela19[#This Row])</f>
        <v>0</v>
      </c>
      <c r="E87" s="20">
        <f t="shared" si="6"/>
        <v>0</v>
      </c>
      <c r="F87" s="21" t="str">
        <f t="shared" si="7"/>
        <v/>
      </c>
      <c r="G87" s="2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25"/>
      <c r="AO87" s="25"/>
    </row>
    <row r="88" spans="2:41" x14ac:dyDescent="0.2">
      <c r="B88" s="22" t="s">
        <v>8</v>
      </c>
      <c r="C88" s="19">
        <v>0</v>
      </c>
      <c r="D88" s="20">
        <f>SUM(Tabela19[#This Row])</f>
        <v>0</v>
      </c>
      <c r="E88" s="20">
        <f t="shared" si="6"/>
        <v>0</v>
      </c>
      <c r="F88" s="21" t="str">
        <f t="shared" si="7"/>
        <v/>
      </c>
      <c r="G88" s="2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25"/>
      <c r="AO88" s="25"/>
    </row>
    <row r="89" spans="2:41" x14ac:dyDescent="0.2">
      <c r="B89" s="22" t="s">
        <v>9</v>
      </c>
      <c r="C89" s="19">
        <v>0</v>
      </c>
      <c r="D89" s="20">
        <f>SUM(Tabela19[#This Row])</f>
        <v>0</v>
      </c>
      <c r="E89" s="20">
        <f t="shared" si="6"/>
        <v>0</v>
      </c>
      <c r="F89" s="21" t="str">
        <f t="shared" si="7"/>
        <v/>
      </c>
      <c r="G89" s="2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25"/>
      <c r="AO89" s="25"/>
    </row>
    <row r="90" spans="2:41" x14ac:dyDescent="0.2">
      <c r="B90" s="5" t="s">
        <v>30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</row>
    <row r="91" spans="2:41" x14ac:dyDescent="0.2">
      <c r="B91" s="2" t="s">
        <v>75</v>
      </c>
      <c r="C91" s="3">
        <f>SUM(Tabela8[[#All],[Kolumna2]])</f>
        <v>204.9</v>
      </c>
      <c r="D91" s="16">
        <f>SUM(Tabela8[[#All],[Kolumna3]])</f>
        <v>30</v>
      </c>
      <c r="E91" s="3">
        <f>C91-D91</f>
        <v>174.9</v>
      </c>
      <c r="F91" s="17">
        <f t="shared" ref="F91:F96" si="8">IFERROR(D91/C91,"")</f>
        <v>0.14641288433382138</v>
      </c>
      <c r="G91" s="3"/>
      <c r="I91" s="11" t="s">
        <v>44</v>
      </c>
      <c r="J91" s="11" t="s">
        <v>45</v>
      </c>
      <c r="K91" s="11" t="s">
        <v>46</v>
      </c>
      <c r="L91" s="11" t="s">
        <v>47</v>
      </c>
      <c r="M91" s="11" t="s">
        <v>48</v>
      </c>
      <c r="N91" s="11" t="s">
        <v>49</v>
      </c>
      <c r="O91" s="11" t="s">
        <v>50</v>
      </c>
      <c r="P91" s="11" t="s">
        <v>51</v>
      </c>
      <c r="Q91" s="11" t="s">
        <v>52</v>
      </c>
      <c r="R91" s="11" t="s">
        <v>53</v>
      </c>
      <c r="S91" s="11" t="s">
        <v>54</v>
      </c>
      <c r="T91" s="11" t="s">
        <v>55</v>
      </c>
      <c r="U91" s="11" t="s">
        <v>56</v>
      </c>
      <c r="V91" s="11" t="s">
        <v>57</v>
      </c>
      <c r="W91" s="11" t="s">
        <v>58</v>
      </c>
      <c r="X91" s="11" t="s">
        <v>59</v>
      </c>
      <c r="Y91" s="11" t="s">
        <v>60</v>
      </c>
      <c r="Z91" s="11" t="s">
        <v>61</v>
      </c>
      <c r="AA91" s="11" t="s">
        <v>62</v>
      </c>
      <c r="AB91" s="11" t="s">
        <v>63</v>
      </c>
      <c r="AC91" s="11" t="s">
        <v>64</v>
      </c>
      <c r="AD91" s="11" t="s">
        <v>65</v>
      </c>
      <c r="AE91" s="11" t="s">
        <v>66</v>
      </c>
      <c r="AF91" s="11" t="s">
        <v>67</v>
      </c>
      <c r="AG91" s="11" t="s">
        <v>68</v>
      </c>
      <c r="AH91" s="11" t="s">
        <v>69</v>
      </c>
      <c r="AI91" s="11" t="s">
        <v>70</v>
      </c>
      <c r="AJ91" s="11" t="s">
        <v>71</v>
      </c>
      <c r="AK91" s="11" t="s">
        <v>72</v>
      </c>
      <c r="AL91" s="11" t="s">
        <v>73</v>
      </c>
      <c r="AM91" s="11" t="s">
        <v>74</v>
      </c>
      <c r="AN91" s="25"/>
      <c r="AO91" s="25"/>
    </row>
    <row r="92" spans="2:41" x14ac:dyDescent="0.2">
      <c r="B92" s="22" t="s">
        <v>76</v>
      </c>
      <c r="C92" s="19">
        <v>40</v>
      </c>
      <c r="D92" s="20">
        <f>SUM(Tabela1921[#This Row])</f>
        <v>0</v>
      </c>
      <c r="E92" s="20">
        <f t="shared" ref="E92:E96" si="9">C92-D92</f>
        <v>40</v>
      </c>
      <c r="F92" s="21">
        <f t="shared" si="8"/>
        <v>0</v>
      </c>
      <c r="G92" s="2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25"/>
      <c r="AO92" s="25"/>
    </row>
    <row r="93" spans="2:41" x14ac:dyDescent="0.2">
      <c r="B93" s="22" t="s">
        <v>77</v>
      </c>
      <c r="C93" s="19">
        <v>45</v>
      </c>
      <c r="D93" s="20">
        <f>SUM(Tabela1921[#This Row])</f>
        <v>0</v>
      </c>
      <c r="E93" s="20">
        <f t="shared" si="9"/>
        <v>45</v>
      </c>
      <c r="F93" s="21">
        <f t="shared" si="8"/>
        <v>0</v>
      </c>
      <c r="G93" s="2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25"/>
      <c r="AO93" s="25"/>
    </row>
    <row r="94" spans="2:41" x14ac:dyDescent="0.2">
      <c r="B94" s="22" t="s">
        <v>78</v>
      </c>
      <c r="C94" s="19">
        <v>50</v>
      </c>
      <c r="D94" s="20">
        <f>SUM(Tabela1921[#This Row])</f>
        <v>30</v>
      </c>
      <c r="E94" s="20">
        <f t="shared" si="9"/>
        <v>20</v>
      </c>
      <c r="F94" s="21">
        <f t="shared" si="8"/>
        <v>0.6</v>
      </c>
      <c r="G94" s="24"/>
      <c r="I94" s="12">
        <v>30</v>
      </c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25"/>
      <c r="AO94" s="25"/>
    </row>
    <row r="95" spans="2:41" x14ac:dyDescent="0.2">
      <c r="B95" s="22" t="s">
        <v>79</v>
      </c>
      <c r="C95" s="19">
        <v>69.900000000000006</v>
      </c>
      <c r="D95" s="20">
        <f>SUM(Tabela1921[#This Row])</f>
        <v>0</v>
      </c>
      <c r="E95" s="20">
        <f t="shared" si="9"/>
        <v>69.900000000000006</v>
      </c>
      <c r="F95" s="21">
        <f t="shared" si="8"/>
        <v>0</v>
      </c>
      <c r="G95" s="2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25"/>
      <c r="AO95" s="25"/>
    </row>
    <row r="96" spans="2:41" x14ac:dyDescent="0.2">
      <c r="B96" s="22" t="s">
        <v>9</v>
      </c>
      <c r="C96" s="19"/>
      <c r="D96" s="20">
        <f>SUM(Tabela1921[#This Row])</f>
        <v>0</v>
      </c>
      <c r="E96" s="20">
        <f t="shared" si="9"/>
        <v>0</v>
      </c>
      <c r="F96" s="21" t="str">
        <f t="shared" si="8"/>
        <v/>
      </c>
      <c r="G96" s="24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25"/>
      <c r="AO96" s="25"/>
    </row>
    <row r="97" spans="2:41" x14ac:dyDescent="0.2"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</row>
    <row r="98" spans="2:41" x14ac:dyDescent="0.2">
      <c r="B98" s="2" t="s">
        <v>98</v>
      </c>
      <c r="C98" s="3">
        <f>SUM(Tabela9[[#All],[Kolumna2]])</f>
        <v>180</v>
      </c>
      <c r="D98" s="16">
        <f>SUM(Tabela9[[#All],[Kolumna3]])</f>
        <v>10</v>
      </c>
      <c r="E98" s="3">
        <f>C98-D98</f>
        <v>170</v>
      </c>
      <c r="F98" s="17">
        <f>IFERROR(D98/C98,"")</f>
        <v>5.5555555555555552E-2</v>
      </c>
      <c r="G98" s="3"/>
      <c r="I98" s="11" t="s">
        <v>44</v>
      </c>
      <c r="J98" s="11" t="s">
        <v>45</v>
      </c>
      <c r="K98" s="11" t="s">
        <v>46</v>
      </c>
      <c r="L98" s="11" t="s">
        <v>47</v>
      </c>
      <c r="M98" s="11" t="s">
        <v>48</v>
      </c>
      <c r="N98" s="11" t="s">
        <v>49</v>
      </c>
      <c r="O98" s="11" t="s">
        <v>50</v>
      </c>
      <c r="P98" s="11" t="s">
        <v>51</v>
      </c>
      <c r="Q98" s="11" t="s">
        <v>52</v>
      </c>
      <c r="R98" s="11" t="s">
        <v>53</v>
      </c>
      <c r="S98" s="11" t="s">
        <v>54</v>
      </c>
      <c r="T98" s="11" t="s">
        <v>55</v>
      </c>
      <c r="U98" s="11" t="s">
        <v>56</v>
      </c>
      <c r="V98" s="11" t="s">
        <v>57</v>
      </c>
      <c r="W98" s="11" t="s">
        <v>58</v>
      </c>
      <c r="X98" s="11" t="s">
        <v>59</v>
      </c>
      <c r="Y98" s="11" t="s">
        <v>60</v>
      </c>
      <c r="Z98" s="11" t="s">
        <v>61</v>
      </c>
      <c r="AA98" s="11" t="s">
        <v>62</v>
      </c>
      <c r="AB98" s="11" t="s">
        <v>63</v>
      </c>
      <c r="AC98" s="11" t="s">
        <v>64</v>
      </c>
      <c r="AD98" s="11" t="s">
        <v>65</v>
      </c>
      <c r="AE98" s="11" t="s">
        <v>66</v>
      </c>
      <c r="AF98" s="11" t="s">
        <v>67</v>
      </c>
      <c r="AG98" s="11" t="s">
        <v>68</v>
      </c>
      <c r="AH98" s="11" t="s">
        <v>69</v>
      </c>
      <c r="AI98" s="11" t="s">
        <v>70</v>
      </c>
      <c r="AJ98" s="11" t="s">
        <v>71</v>
      </c>
      <c r="AK98" s="11" t="s">
        <v>72</v>
      </c>
      <c r="AL98" s="11" t="s">
        <v>73</v>
      </c>
      <c r="AM98" s="11" t="s">
        <v>74</v>
      </c>
      <c r="AN98" s="25"/>
      <c r="AO98" s="25"/>
    </row>
    <row r="99" spans="2:41" x14ac:dyDescent="0.2">
      <c r="B99" s="22" t="s">
        <v>99</v>
      </c>
      <c r="C99" s="19">
        <v>120</v>
      </c>
      <c r="D99" s="20">
        <f>SUM(Tabela192125[#This Row])</f>
        <v>0</v>
      </c>
      <c r="E99" s="20">
        <f t="shared" ref="E99:E102" si="10">C99-D99</f>
        <v>120</v>
      </c>
      <c r="F99" s="21">
        <f>IFERROR(D99/C99,"")</f>
        <v>0</v>
      </c>
      <c r="G99" s="2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25"/>
      <c r="AO99" s="25"/>
    </row>
    <row r="100" spans="2:41" x14ac:dyDescent="0.2">
      <c r="B100" s="22" t="s">
        <v>100</v>
      </c>
      <c r="C100" s="19">
        <v>10</v>
      </c>
      <c r="D100" s="20">
        <f>SUM(Tabela192125[#This Row])</f>
        <v>10</v>
      </c>
      <c r="E100" s="20">
        <f t="shared" si="10"/>
        <v>0</v>
      </c>
      <c r="F100" s="21">
        <f>IFERROR(D100/C100,"")</f>
        <v>1</v>
      </c>
      <c r="G100" s="24"/>
      <c r="I100" s="12">
        <v>10</v>
      </c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25"/>
      <c r="AO100" s="25"/>
    </row>
    <row r="101" spans="2:41" x14ac:dyDescent="0.2">
      <c r="B101" s="22" t="s">
        <v>101</v>
      </c>
      <c r="C101" s="19">
        <v>50</v>
      </c>
      <c r="D101" s="20">
        <f>SUM(Tabela192125[#This Row])</f>
        <v>0</v>
      </c>
      <c r="E101" s="20">
        <f t="shared" si="10"/>
        <v>50</v>
      </c>
      <c r="F101" s="21">
        <f>IFERROR(D101/C101,"")</f>
        <v>0</v>
      </c>
      <c r="G101" s="2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25"/>
      <c r="AO101" s="25"/>
    </row>
    <row r="102" spans="2:41" x14ac:dyDescent="0.2">
      <c r="B102" s="22" t="s">
        <v>9</v>
      </c>
      <c r="C102" s="19"/>
      <c r="D102" s="20">
        <f>SUM(Tabela192125[#This Row])</f>
        <v>0</v>
      </c>
      <c r="E102" s="20">
        <f t="shared" si="10"/>
        <v>0</v>
      </c>
      <c r="F102" s="21" t="str">
        <f>IFERROR(D102/C102,"")</f>
        <v/>
      </c>
      <c r="G102" s="2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25"/>
      <c r="AO102" s="25"/>
    </row>
    <row r="103" spans="2:41" x14ac:dyDescent="0.2">
      <c r="B103" s="13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</row>
    <row r="104" spans="2:41" x14ac:dyDescent="0.2">
      <c r="B104" s="2" t="s">
        <v>18</v>
      </c>
      <c r="C104" s="3">
        <f>SUM(Tabela10[[#All],[Kolumna2]])</f>
        <v>250</v>
      </c>
      <c r="D104" s="16">
        <f>SUM(Tabela10[[#All],[Kolumna3]])</f>
        <v>85</v>
      </c>
      <c r="E104" s="3">
        <f>C104-D104</f>
        <v>165</v>
      </c>
      <c r="F104" s="17">
        <f t="shared" ref="F104:F109" si="11">IFERROR(D104/C104,"")</f>
        <v>0.34</v>
      </c>
      <c r="G104" s="3"/>
      <c r="I104" s="11" t="s">
        <v>44</v>
      </c>
      <c r="J104" s="11" t="s">
        <v>45</v>
      </c>
      <c r="K104" s="11" t="s">
        <v>46</v>
      </c>
      <c r="L104" s="11" t="s">
        <v>47</v>
      </c>
      <c r="M104" s="11" t="s">
        <v>48</v>
      </c>
      <c r="N104" s="11" t="s">
        <v>49</v>
      </c>
      <c r="O104" s="11" t="s">
        <v>50</v>
      </c>
      <c r="P104" s="11" t="s">
        <v>51</v>
      </c>
      <c r="Q104" s="11" t="s">
        <v>52</v>
      </c>
      <c r="R104" s="11" t="s">
        <v>53</v>
      </c>
      <c r="S104" s="11" t="s">
        <v>54</v>
      </c>
      <c r="T104" s="11" t="s">
        <v>55</v>
      </c>
      <c r="U104" s="11" t="s">
        <v>56</v>
      </c>
      <c r="V104" s="11" t="s">
        <v>57</v>
      </c>
      <c r="W104" s="11" t="s">
        <v>58</v>
      </c>
      <c r="X104" s="11" t="s">
        <v>59</v>
      </c>
      <c r="Y104" s="11" t="s">
        <v>60</v>
      </c>
      <c r="Z104" s="11" t="s">
        <v>61</v>
      </c>
      <c r="AA104" s="11" t="s">
        <v>62</v>
      </c>
      <c r="AB104" s="11" t="s">
        <v>63</v>
      </c>
      <c r="AC104" s="11" t="s">
        <v>64</v>
      </c>
      <c r="AD104" s="11" t="s">
        <v>65</v>
      </c>
      <c r="AE104" s="11" t="s">
        <v>66</v>
      </c>
      <c r="AF104" s="11" t="s">
        <v>67</v>
      </c>
      <c r="AG104" s="11" t="s">
        <v>68</v>
      </c>
      <c r="AH104" s="11" t="s">
        <v>69</v>
      </c>
      <c r="AI104" s="11" t="s">
        <v>70</v>
      </c>
      <c r="AJ104" s="11" t="s">
        <v>71</v>
      </c>
      <c r="AK104" s="11" t="s">
        <v>72</v>
      </c>
      <c r="AL104" s="11" t="s">
        <v>73</v>
      </c>
      <c r="AM104" s="11" t="s">
        <v>74</v>
      </c>
      <c r="AN104" s="25"/>
      <c r="AO104" s="25"/>
    </row>
    <row r="105" spans="2:41" x14ac:dyDescent="0.2">
      <c r="B105" s="22" t="s">
        <v>125</v>
      </c>
      <c r="C105" s="19">
        <v>150</v>
      </c>
      <c r="D105" s="20">
        <f>SUM(Tabela192124[#This Row])</f>
        <v>0</v>
      </c>
      <c r="E105" s="20">
        <f t="shared" ref="E105:E109" si="12">C105-D105</f>
        <v>150</v>
      </c>
      <c r="F105" s="21">
        <f t="shared" si="11"/>
        <v>0</v>
      </c>
      <c r="G105" s="2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25"/>
      <c r="AO105" s="25"/>
    </row>
    <row r="106" spans="2:41" x14ac:dyDescent="0.2">
      <c r="B106" s="22" t="s">
        <v>83</v>
      </c>
      <c r="C106" s="19">
        <v>0</v>
      </c>
      <c r="D106" s="20">
        <f>SUM(Tabela192124[#This Row])</f>
        <v>0</v>
      </c>
      <c r="E106" s="20">
        <f t="shared" si="12"/>
        <v>0</v>
      </c>
      <c r="F106" s="21" t="str">
        <f t="shared" si="11"/>
        <v/>
      </c>
      <c r="G106" s="24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25"/>
      <c r="AO106" s="25"/>
    </row>
    <row r="107" spans="2:41" x14ac:dyDescent="0.2">
      <c r="B107" s="22" t="s">
        <v>82</v>
      </c>
      <c r="C107" s="19">
        <v>100</v>
      </c>
      <c r="D107" s="20">
        <f>SUM(Tabela192124[#This Row])</f>
        <v>85</v>
      </c>
      <c r="E107" s="20">
        <f t="shared" si="12"/>
        <v>15</v>
      </c>
      <c r="F107" s="21">
        <f t="shared" si="11"/>
        <v>0.85</v>
      </c>
      <c r="G107" s="24"/>
      <c r="I107" s="12">
        <v>85</v>
      </c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25"/>
      <c r="AO107" s="25"/>
    </row>
    <row r="108" spans="2:41" x14ac:dyDescent="0.2">
      <c r="B108" s="22" t="s">
        <v>84</v>
      </c>
      <c r="C108" s="19">
        <v>0</v>
      </c>
      <c r="D108" s="20">
        <f>SUM(Tabela192124[#This Row])</f>
        <v>0</v>
      </c>
      <c r="E108" s="20">
        <f t="shared" si="12"/>
        <v>0</v>
      </c>
      <c r="F108" s="21" t="str">
        <f t="shared" si="11"/>
        <v/>
      </c>
      <c r="G108" s="24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25"/>
      <c r="AO108" s="25"/>
    </row>
    <row r="109" spans="2:41" x14ac:dyDescent="0.2">
      <c r="B109" s="22" t="s">
        <v>9</v>
      </c>
      <c r="C109" s="19">
        <v>0</v>
      </c>
      <c r="D109" s="20">
        <f>SUM(Tabela192124[#This Row])</f>
        <v>0</v>
      </c>
      <c r="E109" s="20">
        <f t="shared" si="12"/>
        <v>0</v>
      </c>
      <c r="F109" s="21" t="str">
        <f t="shared" si="11"/>
        <v/>
      </c>
      <c r="G109" s="24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25"/>
      <c r="AO109" s="25"/>
    </row>
    <row r="110" spans="2:41" x14ac:dyDescent="0.2">
      <c r="B110" s="5" t="s">
        <v>30</v>
      </c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</row>
    <row r="111" spans="2:41" x14ac:dyDescent="0.2">
      <c r="B111" s="2" t="s">
        <v>80</v>
      </c>
      <c r="C111" s="3">
        <f>SUM(Tabela11[[#All],[Kolumna2]])</f>
        <v>115</v>
      </c>
      <c r="D111" s="16">
        <f>SUM(Tabela11[[#All],[Kolumna3]])</f>
        <v>25</v>
      </c>
      <c r="E111" s="3">
        <f>C111-D111</f>
        <v>90</v>
      </c>
      <c r="F111" s="17">
        <f t="shared" ref="F111:F116" si="13">IFERROR(D111/C111,"")</f>
        <v>0.21739130434782608</v>
      </c>
      <c r="G111" s="3"/>
      <c r="I111" s="11" t="s">
        <v>44</v>
      </c>
      <c r="J111" s="11" t="s">
        <v>45</v>
      </c>
      <c r="K111" s="11" t="s">
        <v>46</v>
      </c>
      <c r="L111" s="11" t="s">
        <v>47</v>
      </c>
      <c r="M111" s="11" t="s">
        <v>48</v>
      </c>
      <c r="N111" s="11" t="s">
        <v>49</v>
      </c>
      <c r="O111" s="11" t="s">
        <v>50</v>
      </c>
      <c r="P111" s="11" t="s">
        <v>51</v>
      </c>
      <c r="Q111" s="11" t="s">
        <v>52</v>
      </c>
      <c r="R111" s="11" t="s">
        <v>53</v>
      </c>
      <c r="S111" s="11" t="s">
        <v>54</v>
      </c>
      <c r="T111" s="11" t="s">
        <v>55</v>
      </c>
      <c r="U111" s="11" t="s">
        <v>56</v>
      </c>
      <c r="V111" s="11" t="s">
        <v>57</v>
      </c>
      <c r="W111" s="11" t="s">
        <v>58</v>
      </c>
      <c r="X111" s="11" t="s">
        <v>59</v>
      </c>
      <c r="Y111" s="11" t="s">
        <v>60</v>
      </c>
      <c r="Z111" s="11" t="s">
        <v>61</v>
      </c>
      <c r="AA111" s="11" t="s">
        <v>62</v>
      </c>
      <c r="AB111" s="11" t="s">
        <v>63</v>
      </c>
      <c r="AC111" s="11" t="s">
        <v>64</v>
      </c>
      <c r="AD111" s="11" t="s">
        <v>65</v>
      </c>
      <c r="AE111" s="11" t="s">
        <v>66</v>
      </c>
      <c r="AF111" s="11" t="s">
        <v>67</v>
      </c>
      <c r="AG111" s="11" t="s">
        <v>68</v>
      </c>
      <c r="AH111" s="11" t="s">
        <v>69</v>
      </c>
      <c r="AI111" s="11" t="s">
        <v>70</v>
      </c>
      <c r="AJ111" s="11" t="s">
        <v>71</v>
      </c>
      <c r="AK111" s="11" t="s">
        <v>72</v>
      </c>
      <c r="AL111" s="11" t="s">
        <v>73</v>
      </c>
      <c r="AM111" s="11" t="s">
        <v>74</v>
      </c>
      <c r="AN111" s="25"/>
      <c r="AO111" s="25"/>
    </row>
    <row r="112" spans="2:41" x14ac:dyDescent="0.2">
      <c r="B112" s="22" t="s">
        <v>81</v>
      </c>
      <c r="C112" s="19">
        <v>75</v>
      </c>
      <c r="D112" s="20">
        <f>SUM(Tabela1922[#This Row])</f>
        <v>0</v>
      </c>
      <c r="E112" s="20">
        <f t="shared" ref="E112:E116" si="14">C112-D112</f>
        <v>75</v>
      </c>
      <c r="F112" s="21">
        <f t="shared" si="13"/>
        <v>0</v>
      </c>
      <c r="G112" s="2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5"/>
      <c r="AO112" s="25"/>
    </row>
    <row r="113" spans="2:41" x14ac:dyDescent="0.2">
      <c r="B113" s="22" t="s">
        <v>86</v>
      </c>
      <c r="C113" s="19">
        <v>40</v>
      </c>
      <c r="D113" s="20">
        <f>SUM(Tabela1922[#This Row])</f>
        <v>0</v>
      </c>
      <c r="E113" s="20">
        <f t="shared" si="14"/>
        <v>40</v>
      </c>
      <c r="F113" s="21">
        <f t="shared" si="13"/>
        <v>0</v>
      </c>
      <c r="G113" s="2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25"/>
      <c r="AO113" s="25"/>
    </row>
    <row r="114" spans="2:41" x14ac:dyDescent="0.2">
      <c r="B114" s="22" t="s">
        <v>87</v>
      </c>
      <c r="C114" s="19">
        <v>0</v>
      </c>
      <c r="D114" s="20">
        <f>SUM(Tabela1922[#This Row])</f>
        <v>25</v>
      </c>
      <c r="E114" s="20">
        <f t="shared" si="14"/>
        <v>-25</v>
      </c>
      <c r="F114" s="21" t="str">
        <f t="shared" si="13"/>
        <v/>
      </c>
      <c r="G114" s="24"/>
      <c r="I114" s="12">
        <v>25</v>
      </c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25"/>
      <c r="AO114" s="25"/>
    </row>
    <row r="115" spans="2:41" x14ac:dyDescent="0.2">
      <c r="B115" s="22" t="s">
        <v>88</v>
      </c>
      <c r="C115" s="19">
        <v>0</v>
      </c>
      <c r="D115" s="20">
        <f>SUM(Tabela1922[#This Row])</f>
        <v>0</v>
      </c>
      <c r="E115" s="20">
        <f t="shared" si="14"/>
        <v>0</v>
      </c>
      <c r="F115" s="21" t="str">
        <f t="shared" si="13"/>
        <v/>
      </c>
      <c r="G115" s="24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25"/>
      <c r="AO115" s="25"/>
    </row>
    <row r="116" spans="2:41" x14ac:dyDescent="0.2">
      <c r="B116" s="22" t="s">
        <v>9</v>
      </c>
      <c r="C116" s="19">
        <v>0</v>
      </c>
      <c r="D116" s="20">
        <f>SUM(Tabela1922[#This Row])</f>
        <v>0</v>
      </c>
      <c r="E116" s="20">
        <f t="shared" si="14"/>
        <v>0</v>
      </c>
      <c r="F116" s="21" t="str">
        <f t="shared" si="13"/>
        <v/>
      </c>
      <c r="G116" s="24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25"/>
      <c r="AO116" s="25"/>
    </row>
    <row r="117" spans="2:41" x14ac:dyDescent="0.2">
      <c r="B117" s="5" t="s">
        <v>30</v>
      </c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</row>
    <row r="118" spans="2:41" x14ac:dyDescent="0.2">
      <c r="B118" s="2" t="s">
        <v>103</v>
      </c>
      <c r="C118" s="3">
        <f>SUM(Tabela12[[#All],[Kolumna2]])</f>
        <v>285</v>
      </c>
      <c r="D118" s="16">
        <f>SUM(Tabela12[[#All],[Kolumna3]])</f>
        <v>0</v>
      </c>
      <c r="E118" s="3">
        <f>C118-D118</f>
        <v>285</v>
      </c>
      <c r="F118" s="17">
        <f>IFERROR(D118/C118,"")</f>
        <v>0</v>
      </c>
      <c r="G118" s="3"/>
      <c r="I118" s="11" t="s">
        <v>44</v>
      </c>
      <c r="J118" s="11" t="s">
        <v>45</v>
      </c>
      <c r="K118" s="11" t="s">
        <v>46</v>
      </c>
      <c r="L118" s="11" t="s">
        <v>47</v>
      </c>
      <c r="M118" s="11" t="s">
        <v>48</v>
      </c>
      <c r="N118" s="11" t="s">
        <v>49</v>
      </c>
      <c r="O118" s="11" t="s">
        <v>50</v>
      </c>
      <c r="P118" s="11" t="s">
        <v>51</v>
      </c>
      <c r="Q118" s="11" t="s">
        <v>52</v>
      </c>
      <c r="R118" s="11" t="s">
        <v>53</v>
      </c>
      <c r="S118" s="11" t="s">
        <v>54</v>
      </c>
      <c r="T118" s="11" t="s">
        <v>55</v>
      </c>
      <c r="U118" s="11" t="s">
        <v>56</v>
      </c>
      <c r="V118" s="11" t="s">
        <v>57</v>
      </c>
      <c r="W118" s="11" t="s">
        <v>58</v>
      </c>
      <c r="X118" s="11" t="s">
        <v>59</v>
      </c>
      <c r="Y118" s="11" t="s">
        <v>60</v>
      </c>
      <c r="Z118" s="11" t="s">
        <v>61</v>
      </c>
      <c r="AA118" s="11" t="s">
        <v>62</v>
      </c>
      <c r="AB118" s="11" t="s">
        <v>63</v>
      </c>
      <c r="AC118" s="11" t="s">
        <v>64</v>
      </c>
      <c r="AD118" s="11" t="s">
        <v>65</v>
      </c>
      <c r="AE118" s="11" t="s">
        <v>66</v>
      </c>
      <c r="AF118" s="11" t="s">
        <v>67</v>
      </c>
      <c r="AG118" s="11" t="s">
        <v>68</v>
      </c>
      <c r="AH118" s="11" t="s">
        <v>69</v>
      </c>
      <c r="AI118" s="11" t="s">
        <v>70</v>
      </c>
      <c r="AJ118" s="11" t="s">
        <v>71</v>
      </c>
      <c r="AK118" s="11" t="s">
        <v>72</v>
      </c>
      <c r="AL118" s="11" t="s">
        <v>73</v>
      </c>
      <c r="AM118" s="11" t="s">
        <v>74</v>
      </c>
      <c r="AN118" s="25"/>
      <c r="AO118" s="25"/>
    </row>
    <row r="119" spans="2:41" x14ac:dyDescent="0.2">
      <c r="B119" s="22" t="s">
        <v>116</v>
      </c>
      <c r="C119" s="19">
        <v>25</v>
      </c>
      <c r="D119" s="20">
        <f>SUM(Tabela25[#This Row])</f>
        <v>0</v>
      </c>
      <c r="E119" s="20">
        <f t="shared" ref="E119:E124" si="15">C119-D119</f>
        <v>25</v>
      </c>
      <c r="F119" s="21">
        <f t="shared" ref="F119:F124" si="16">IFERROR(D119/C119,"")</f>
        <v>0</v>
      </c>
      <c r="G119" s="24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25"/>
      <c r="AO119" s="25"/>
    </row>
    <row r="120" spans="2:41" x14ac:dyDescent="0.2">
      <c r="B120" s="22" t="s">
        <v>117</v>
      </c>
      <c r="C120" s="19">
        <v>230</v>
      </c>
      <c r="D120" s="20">
        <f>SUM(Tabela25[#This Row])</f>
        <v>0</v>
      </c>
      <c r="E120" s="20">
        <f t="shared" si="15"/>
        <v>230</v>
      </c>
      <c r="F120" s="21">
        <f t="shared" si="16"/>
        <v>0</v>
      </c>
      <c r="G120" s="24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25"/>
      <c r="AO120" s="25"/>
    </row>
    <row r="121" spans="2:41" x14ac:dyDescent="0.2">
      <c r="B121" s="22" t="s">
        <v>118</v>
      </c>
      <c r="C121" s="19">
        <v>0</v>
      </c>
      <c r="D121" s="20">
        <f>SUM(Tabela25[#This Row])</f>
        <v>0</v>
      </c>
      <c r="E121" s="20">
        <f t="shared" si="15"/>
        <v>0</v>
      </c>
      <c r="F121" s="21" t="str">
        <f t="shared" si="16"/>
        <v/>
      </c>
      <c r="G121" s="24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25"/>
      <c r="AO121" s="25"/>
    </row>
    <row r="122" spans="2:41" x14ac:dyDescent="0.2">
      <c r="B122" s="22" t="s">
        <v>119</v>
      </c>
      <c r="C122" s="19">
        <v>30</v>
      </c>
      <c r="D122" s="20">
        <f>SUM(Tabela25[#This Row])</f>
        <v>0</v>
      </c>
      <c r="E122" s="20">
        <f t="shared" si="15"/>
        <v>30</v>
      </c>
      <c r="F122" s="21">
        <f t="shared" si="16"/>
        <v>0</v>
      </c>
      <c r="G122" s="2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25"/>
      <c r="AO122" s="25"/>
    </row>
    <row r="123" spans="2:41" x14ac:dyDescent="0.2">
      <c r="B123" s="22" t="s">
        <v>120</v>
      </c>
      <c r="C123" s="19">
        <v>0</v>
      </c>
      <c r="D123" s="20">
        <f>SUM(Tabela25[#This Row])</f>
        <v>0</v>
      </c>
      <c r="E123" s="20">
        <f t="shared" si="15"/>
        <v>0</v>
      </c>
      <c r="F123" s="21" t="str">
        <f t="shared" si="16"/>
        <v/>
      </c>
      <c r="G123" s="2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25"/>
      <c r="AO123" s="25"/>
    </row>
    <row r="124" spans="2:41" x14ac:dyDescent="0.2">
      <c r="B124" s="22" t="s">
        <v>9</v>
      </c>
      <c r="C124" s="19">
        <v>0</v>
      </c>
      <c r="D124" s="20">
        <f>SUM(Tabela25[#This Row])</f>
        <v>0</v>
      </c>
      <c r="E124" s="20">
        <f t="shared" si="15"/>
        <v>0</v>
      </c>
      <c r="F124" s="21" t="str">
        <f t="shared" si="16"/>
        <v/>
      </c>
      <c r="G124" s="2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25"/>
      <c r="AO124" s="25"/>
    </row>
    <row r="125" spans="2:41" x14ac:dyDescent="0.2">
      <c r="B125" s="5" t="s">
        <v>30</v>
      </c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</row>
    <row r="126" spans="2:41" x14ac:dyDescent="0.2">
      <c r="B126" s="2" t="s">
        <v>105</v>
      </c>
      <c r="C126" s="3">
        <f>SUM(Tabela13[[#All],[Kolumna2]])</f>
        <v>105</v>
      </c>
      <c r="D126" s="16">
        <f>SUM(Tabela13[[#All],[Kolumna3]])</f>
        <v>0</v>
      </c>
      <c r="E126" s="3">
        <f>C126-D126</f>
        <v>105</v>
      </c>
      <c r="F126" s="17">
        <f>IFERROR(D126/C126,"")</f>
        <v>0</v>
      </c>
      <c r="G126" s="3"/>
      <c r="I126" s="11" t="s">
        <v>44</v>
      </c>
      <c r="J126" s="11" t="s">
        <v>45</v>
      </c>
      <c r="K126" s="11" t="s">
        <v>46</v>
      </c>
      <c r="L126" s="11" t="s">
        <v>47</v>
      </c>
      <c r="M126" s="11" t="s">
        <v>48</v>
      </c>
      <c r="N126" s="11" t="s">
        <v>49</v>
      </c>
      <c r="O126" s="11" t="s">
        <v>50</v>
      </c>
      <c r="P126" s="11" t="s">
        <v>51</v>
      </c>
      <c r="Q126" s="11" t="s">
        <v>52</v>
      </c>
      <c r="R126" s="11" t="s">
        <v>53</v>
      </c>
      <c r="S126" s="11" t="s">
        <v>54</v>
      </c>
      <c r="T126" s="11" t="s">
        <v>55</v>
      </c>
      <c r="U126" s="11" t="s">
        <v>56</v>
      </c>
      <c r="V126" s="11" t="s">
        <v>57</v>
      </c>
      <c r="W126" s="11" t="s">
        <v>58</v>
      </c>
      <c r="X126" s="11" t="s">
        <v>59</v>
      </c>
      <c r="Y126" s="11" t="s">
        <v>60</v>
      </c>
      <c r="Z126" s="11" t="s">
        <v>61</v>
      </c>
      <c r="AA126" s="11" t="s">
        <v>62</v>
      </c>
      <c r="AB126" s="11" t="s">
        <v>63</v>
      </c>
      <c r="AC126" s="11" t="s">
        <v>64</v>
      </c>
      <c r="AD126" s="11" t="s">
        <v>65</v>
      </c>
      <c r="AE126" s="11" t="s">
        <v>66</v>
      </c>
      <c r="AF126" s="11" t="s">
        <v>67</v>
      </c>
      <c r="AG126" s="11" t="s">
        <v>68</v>
      </c>
      <c r="AH126" s="11" t="s">
        <v>69</v>
      </c>
      <c r="AI126" s="11" t="s">
        <v>70</v>
      </c>
      <c r="AJ126" s="11" t="s">
        <v>71</v>
      </c>
      <c r="AK126" s="11" t="s">
        <v>72</v>
      </c>
      <c r="AL126" s="11" t="s">
        <v>73</v>
      </c>
      <c r="AM126" s="11" t="s">
        <v>74</v>
      </c>
      <c r="AN126" s="25"/>
      <c r="AO126" s="25"/>
    </row>
    <row r="127" spans="2:41" x14ac:dyDescent="0.2">
      <c r="B127" s="22" t="s">
        <v>107</v>
      </c>
      <c r="C127" s="19">
        <v>0</v>
      </c>
      <c r="D127" s="20">
        <f>SUM(Tabela26[#This Row])</f>
        <v>0</v>
      </c>
      <c r="E127" s="20">
        <f t="shared" ref="E127:E134" si="17">C127-D127</f>
        <v>0</v>
      </c>
      <c r="F127" s="21" t="str">
        <f t="shared" ref="F127:F134" si="18">IFERROR(D127/C127,"")</f>
        <v/>
      </c>
      <c r="G127" s="24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25"/>
      <c r="AO127" s="25"/>
    </row>
    <row r="128" spans="2:41" x14ac:dyDescent="0.2">
      <c r="B128" s="22" t="s">
        <v>106</v>
      </c>
      <c r="C128" s="19">
        <v>0</v>
      </c>
      <c r="D128" s="20">
        <f>SUM(Tabela26[#This Row])</f>
        <v>0</v>
      </c>
      <c r="E128" s="20">
        <f t="shared" si="17"/>
        <v>0</v>
      </c>
      <c r="F128" s="21" t="str">
        <f t="shared" si="18"/>
        <v/>
      </c>
      <c r="G128" s="24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25"/>
      <c r="AO128" s="25"/>
    </row>
    <row r="129" spans="2:41" x14ac:dyDescent="0.2">
      <c r="B129" s="22" t="s">
        <v>109</v>
      </c>
      <c r="C129" s="19">
        <v>0</v>
      </c>
      <c r="D129" s="20">
        <f>SUM(Tabela26[#This Row])</f>
        <v>0</v>
      </c>
      <c r="E129" s="20">
        <f t="shared" si="17"/>
        <v>0</v>
      </c>
      <c r="F129" s="21" t="str">
        <f t="shared" si="18"/>
        <v/>
      </c>
      <c r="G129" s="24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25"/>
      <c r="AO129" s="25"/>
    </row>
    <row r="130" spans="2:41" x14ac:dyDescent="0.2">
      <c r="B130" s="22" t="s">
        <v>108</v>
      </c>
      <c r="C130" s="19">
        <v>15</v>
      </c>
      <c r="D130" s="20">
        <f>SUM(Tabela26[#This Row])</f>
        <v>0</v>
      </c>
      <c r="E130" s="20">
        <f t="shared" si="17"/>
        <v>15</v>
      </c>
      <c r="F130" s="21">
        <f t="shared" si="18"/>
        <v>0</v>
      </c>
      <c r="G130" s="24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25"/>
      <c r="AO130" s="25"/>
    </row>
    <row r="131" spans="2:41" x14ac:dyDescent="0.2">
      <c r="B131" s="22" t="s">
        <v>114</v>
      </c>
      <c r="C131" s="19">
        <v>90</v>
      </c>
      <c r="D131" s="20">
        <f>SUM(Tabela26[#This Row])</f>
        <v>0</v>
      </c>
      <c r="E131" s="20">
        <f t="shared" si="17"/>
        <v>90</v>
      </c>
      <c r="F131" s="21">
        <f t="shared" si="18"/>
        <v>0</v>
      </c>
      <c r="G131" s="24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25"/>
      <c r="AO131" s="25"/>
    </row>
    <row r="132" spans="2:41" x14ac:dyDescent="0.2">
      <c r="B132" s="22" t="s">
        <v>110</v>
      </c>
      <c r="C132" s="19">
        <v>0</v>
      </c>
      <c r="D132" s="20">
        <f>SUM(Tabela26[#This Row])</f>
        <v>0</v>
      </c>
      <c r="E132" s="20">
        <f t="shared" si="17"/>
        <v>0</v>
      </c>
      <c r="F132" s="21" t="str">
        <f t="shared" si="18"/>
        <v/>
      </c>
      <c r="G132" s="24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25"/>
      <c r="AO132" s="25"/>
    </row>
    <row r="133" spans="2:41" x14ac:dyDescent="0.2">
      <c r="B133" s="22" t="s">
        <v>124</v>
      </c>
      <c r="C133" s="19">
        <v>0</v>
      </c>
      <c r="D133" s="20">
        <f>SUM(Tabela26[#This Row])</f>
        <v>0</v>
      </c>
      <c r="E133" s="20">
        <f t="shared" si="17"/>
        <v>0</v>
      </c>
      <c r="F133" s="21" t="str">
        <f t="shared" si="18"/>
        <v/>
      </c>
      <c r="G133" s="24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25"/>
      <c r="AO133" s="25"/>
    </row>
    <row r="134" spans="2:41" x14ac:dyDescent="0.2">
      <c r="B134" s="22" t="s">
        <v>9</v>
      </c>
      <c r="C134" s="19">
        <v>0</v>
      </c>
      <c r="D134" s="20">
        <f>SUM(Tabela26[#This Row])</f>
        <v>0</v>
      </c>
      <c r="E134" s="20">
        <f t="shared" si="17"/>
        <v>0</v>
      </c>
      <c r="F134" s="21" t="str">
        <f t="shared" si="18"/>
        <v/>
      </c>
      <c r="G134" s="2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25"/>
      <c r="AO134" s="25"/>
    </row>
    <row r="135" spans="2:41" x14ac:dyDescent="0.2">
      <c r="B135" s="5" t="s">
        <v>30</v>
      </c>
      <c r="AN135" s="25"/>
      <c r="AO135" s="25"/>
    </row>
    <row r="136" spans="2:41" x14ac:dyDescent="0.2">
      <c r="B136" s="2" t="s">
        <v>102</v>
      </c>
      <c r="C136" s="3">
        <f>SUM(Tabela14[[#All],[Kolumna2]])</f>
        <v>100</v>
      </c>
      <c r="D136" s="16">
        <f>SUM(Tabela14[[#All],[Kolumna3]])</f>
        <v>0</v>
      </c>
      <c r="E136" s="3">
        <f>C136-D136</f>
        <v>100</v>
      </c>
      <c r="F136" s="17">
        <f>IFERROR(D136/C136,"")</f>
        <v>0</v>
      </c>
      <c r="G136" s="3"/>
      <c r="I136" s="11" t="s">
        <v>44</v>
      </c>
      <c r="J136" s="11" t="s">
        <v>45</v>
      </c>
      <c r="K136" s="11" t="s">
        <v>46</v>
      </c>
      <c r="L136" s="11" t="s">
        <v>47</v>
      </c>
      <c r="M136" s="11" t="s">
        <v>48</v>
      </c>
      <c r="N136" s="11" t="s">
        <v>49</v>
      </c>
      <c r="O136" s="11" t="s">
        <v>50</v>
      </c>
      <c r="P136" s="11" t="s">
        <v>51</v>
      </c>
      <c r="Q136" s="11" t="s">
        <v>52</v>
      </c>
      <c r="R136" s="11" t="s">
        <v>53</v>
      </c>
      <c r="S136" s="11" t="s">
        <v>54</v>
      </c>
      <c r="T136" s="11" t="s">
        <v>55</v>
      </c>
      <c r="U136" s="11" t="s">
        <v>56</v>
      </c>
      <c r="V136" s="11" t="s">
        <v>57</v>
      </c>
      <c r="W136" s="11" t="s">
        <v>58</v>
      </c>
      <c r="X136" s="11" t="s">
        <v>59</v>
      </c>
      <c r="Y136" s="11" t="s">
        <v>60</v>
      </c>
      <c r="Z136" s="11" t="s">
        <v>61</v>
      </c>
      <c r="AA136" s="11" t="s">
        <v>62</v>
      </c>
      <c r="AB136" s="11" t="s">
        <v>63</v>
      </c>
      <c r="AC136" s="11" t="s">
        <v>64</v>
      </c>
      <c r="AD136" s="11" t="s">
        <v>65</v>
      </c>
      <c r="AE136" s="11" t="s">
        <v>66</v>
      </c>
      <c r="AF136" s="11" t="s">
        <v>67</v>
      </c>
      <c r="AG136" s="11" t="s">
        <v>68</v>
      </c>
      <c r="AH136" s="11" t="s">
        <v>69</v>
      </c>
      <c r="AI136" s="11" t="s">
        <v>70</v>
      </c>
      <c r="AJ136" s="11" t="s">
        <v>71</v>
      </c>
      <c r="AK136" s="11" t="s">
        <v>72</v>
      </c>
      <c r="AL136" s="11" t="s">
        <v>73</v>
      </c>
      <c r="AM136" s="11" t="s">
        <v>74</v>
      </c>
      <c r="AN136" s="25"/>
      <c r="AO136" s="25"/>
    </row>
    <row r="137" spans="2:41" x14ac:dyDescent="0.2">
      <c r="B137" s="22" t="s">
        <v>111</v>
      </c>
      <c r="C137" s="19">
        <v>50</v>
      </c>
      <c r="D137" s="20">
        <f>SUM(Tabela27[#This Row])</f>
        <v>0</v>
      </c>
      <c r="E137" s="20">
        <f t="shared" ref="E137:E144" si="19">C137-D137</f>
        <v>50</v>
      </c>
      <c r="F137" s="21">
        <f t="shared" ref="F137:F144" si="20">IFERROR(D137/C137,"")</f>
        <v>0</v>
      </c>
      <c r="G137" s="2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25"/>
      <c r="AO137" s="25"/>
    </row>
    <row r="138" spans="2:41" x14ac:dyDescent="0.2">
      <c r="B138" s="22" t="s">
        <v>112</v>
      </c>
      <c r="C138" s="19">
        <v>50</v>
      </c>
      <c r="D138" s="20">
        <f>SUM(Tabela27[#This Row])</f>
        <v>0</v>
      </c>
      <c r="E138" s="20">
        <f t="shared" si="19"/>
        <v>50</v>
      </c>
      <c r="F138" s="21">
        <f t="shared" si="20"/>
        <v>0</v>
      </c>
      <c r="G138" s="2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25"/>
      <c r="AO138" s="25"/>
    </row>
    <row r="139" spans="2:41" x14ac:dyDescent="0.2">
      <c r="B139" s="22" t="s">
        <v>113</v>
      </c>
      <c r="C139" s="19">
        <v>0</v>
      </c>
      <c r="D139" s="20">
        <f>SUM(Tabela27[#This Row])</f>
        <v>0</v>
      </c>
      <c r="E139" s="20">
        <f t="shared" si="19"/>
        <v>0</v>
      </c>
      <c r="F139" s="21" t="str">
        <f t="shared" si="20"/>
        <v/>
      </c>
      <c r="G139" s="24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25"/>
      <c r="AO139" s="25"/>
    </row>
    <row r="140" spans="2:41" x14ac:dyDescent="0.2">
      <c r="B140" s="22" t="s">
        <v>123</v>
      </c>
      <c r="C140" s="19">
        <v>0</v>
      </c>
      <c r="D140" s="20">
        <f>SUM(Tabela27[#This Row])</f>
        <v>0</v>
      </c>
      <c r="E140" s="20">
        <f t="shared" si="19"/>
        <v>0</v>
      </c>
      <c r="F140" s="21" t="str">
        <f t="shared" si="20"/>
        <v/>
      </c>
      <c r="G140" s="24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25"/>
      <c r="AO140" s="25"/>
    </row>
    <row r="141" spans="2:41" x14ac:dyDescent="0.2">
      <c r="B141" s="22" t="s">
        <v>115</v>
      </c>
      <c r="C141" s="19">
        <v>0</v>
      </c>
      <c r="D141" s="20">
        <f>SUM(Tabela27[#This Row])</f>
        <v>0</v>
      </c>
      <c r="E141" s="20">
        <f t="shared" si="19"/>
        <v>0</v>
      </c>
      <c r="F141" s="21" t="str">
        <f t="shared" si="20"/>
        <v/>
      </c>
      <c r="G141" s="24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25"/>
      <c r="AO141" s="25"/>
    </row>
    <row r="142" spans="2:41" x14ac:dyDescent="0.2">
      <c r="B142" s="22" t="s">
        <v>121</v>
      </c>
      <c r="C142" s="19">
        <v>0</v>
      </c>
      <c r="D142" s="20">
        <f>SUM(Tabela27[#This Row])</f>
        <v>0</v>
      </c>
      <c r="E142" s="20">
        <f t="shared" si="19"/>
        <v>0</v>
      </c>
      <c r="F142" s="21" t="str">
        <f t="shared" si="20"/>
        <v/>
      </c>
      <c r="G142" s="24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25"/>
      <c r="AO142" s="25"/>
    </row>
    <row r="143" spans="2:41" x14ac:dyDescent="0.2">
      <c r="B143" s="22" t="s">
        <v>122</v>
      </c>
      <c r="C143" s="19">
        <v>0</v>
      </c>
      <c r="D143" s="20">
        <f>SUM(Tabela27[#This Row])</f>
        <v>0</v>
      </c>
      <c r="E143" s="20">
        <f t="shared" si="19"/>
        <v>0</v>
      </c>
      <c r="F143" s="21" t="str">
        <f t="shared" si="20"/>
        <v/>
      </c>
      <c r="G143" s="24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25"/>
      <c r="AO143" s="25"/>
    </row>
    <row r="144" spans="2:41" x14ac:dyDescent="0.2">
      <c r="B144" s="22" t="s">
        <v>9</v>
      </c>
      <c r="C144" s="19">
        <v>0</v>
      </c>
      <c r="D144" s="20">
        <f>SUM(Tabela27[#This Row])</f>
        <v>0</v>
      </c>
      <c r="E144" s="20">
        <f t="shared" si="19"/>
        <v>0</v>
      </c>
      <c r="F144" s="21" t="str">
        <f t="shared" si="20"/>
        <v/>
      </c>
      <c r="G144" s="24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25"/>
      <c r="AO144" s="25"/>
    </row>
    <row r="145" spans="2:41" x14ac:dyDescent="0.2">
      <c r="B145" s="5" t="s">
        <v>30</v>
      </c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</row>
    <row r="146" spans="2:41" x14ac:dyDescent="0.2">
      <c r="B146" s="2" t="s">
        <v>19</v>
      </c>
      <c r="C146" s="3">
        <f>SUM(Tabela15[[#All],[Kolumna2]])</f>
        <v>2600</v>
      </c>
      <c r="D146" s="16">
        <f>SUM(Tabela15[[#All],[Kolumna3]])</f>
        <v>0</v>
      </c>
      <c r="E146" s="3">
        <f>C146-D146</f>
        <v>2600</v>
      </c>
      <c r="F146" s="17">
        <f>IFERROR(D146/C146,"")</f>
        <v>0</v>
      </c>
      <c r="G146" s="3"/>
      <c r="I146" s="11" t="s">
        <v>44</v>
      </c>
      <c r="J146" s="11" t="s">
        <v>45</v>
      </c>
      <c r="K146" s="11" t="s">
        <v>46</v>
      </c>
      <c r="L146" s="11" t="s">
        <v>47</v>
      </c>
      <c r="M146" s="11" t="s">
        <v>48</v>
      </c>
      <c r="N146" s="11" t="s">
        <v>49</v>
      </c>
      <c r="O146" s="11" t="s">
        <v>50</v>
      </c>
      <c r="P146" s="11" t="s">
        <v>51</v>
      </c>
      <c r="Q146" s="11" t="s">
        <v>52</v>
      </c>
      <c r="R146" s="11" t="s">
        <v>53</v>
      </c>
      <c r="S146" s="11" t="s">
        <v>54</v>
      </c>
      <c r="T146" s="11" t="s">
        <v>55</v>
      </c>
      <c r="U146" s="11" t="s">
        <v>56</v>
      </c>
      <c r="V146" s="11" t="s">
        <v>57</v>
      </c>
      <c r="W146" s="11" t="s">
        <v>58</v>
      </c>
      <c r="X146" s="11" t="s">
        <v>59</v>
      </c>
      <c r="Y146" s="11" t="s">
        <v>60</v>
      </c>
      <c r="Z146" s="11" t="s">
        <v>61</v>
      </c>
      <c r="AA146" s="11" t="s">
        <v>62</v>
      </c>
      <c r="AB146" s="11" t="s">
        <v>63</v>
      </c>
      <c r="AC146" s="11" t="s">
        <v>64</v>
      </c>
      <c r="AD146" s="11" t="s">
        <v>65</v>
      </c>
      <c r="AE146" s="11" t="s">
        <v>66</v>
      </c>
      <c r="AF146" s="11" t="s">
        <v>67</v>
      </c>
      <c r="AG146" s="11" t="s">
        <v>68</v>
      </c>
      <c r="AH146" s="11" t="s">
        <v>69</v>
      </c>
      <c r="AI146" s="11" t="s">
        <v>70</v>
      </c>
      <c r="AJ146" s="11" t="s">
        <v>71</v>
      </c>
      <c r="AK146" s="11" t="s">
        <v>72</v>
      </c>
      <c r="AL146" s="11" t="s">
        <v>73</v>
      </c>
      <c r="AM146" s="11" t="s">
        <v>74</v>
      </c>
      <c r="AN146" s="25"/>
      <c r="AO146" s="25"/>
    </row>
    <row r="147" spans="2:41" x14ac:dyDescent="0.2">
      <c r="B147" s="22" t="s">
        <v>21</v>
      </c>
      <c r="C147" s="19">
        <v>1250</v>
      </c>
      <c r="D147" s="20">
        <f>SUM(Tabela28[#This Row])</f>
        <v>0</v>
      </c>
      <c r="E147" s="20">
        <f t="shared" ref="E147:E152" si="21">C147-D147</f>
        <v>1250</v>
      </c>
      <c r="F147" s="21">
        <f t="shared" ref="F147:F152" si="22">IFERROR(D147/C147,"")</f>
        <v>0</v>
      </c>
      <c r="G147" s="2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25"/>
      <c r="AO147" s="25"/>
    </row>
    <row r="148" spans="2:41" x14ac:dyDescent="0.2">
      <c r="B148" s="22" t="s">
        <v>85</v>
      </c>
      <c r="C148" s="19">
        <v>350</v>
      </c>
      <c r="D148" s="20">
        <f>SUM(Tabela28[#This Row])</f>
        <v>0</v>
      </c>
      <c r="E148" s="20">
        <f t="shared" si="21"/>
        <v>350</v>
      </c>
      <c r="F148" s="21">
        <f t="shared" si="22"/>
        <v>0</v>
      </c>
      <c r="G148" s="2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25"/>
      <c r="AO148" s="25"/>
    </row>
    <row r="149" spans="2:41" x14ac:dyDescent="0.2">
      <c r="B149" s="22" t="s">
        <v>20</v>
      </c>
      <c r="C149" s="19">
        <v>500</v>
      </c>
      <c r="D149" s="20">
        <f>SUM(Tabela28[#This Row])</f>
        <v>0</v>
      </c>
      <c r="E149" s="20">
        <f t="shared" si="21"/>
        <v>500</v>
      </c>
      <c r="F149" s="21">
        <f t="shared" si="22"/>
        <v>0</v>
      </c>
      <c r="G149" s="2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25"/>
      <c r="AO149" s="25"/>
    </row>
    <row r="150" spans="2:41" x14ac:dyDescent="0.2">
      <c r="B150" s="22" t="s">
        <v>22</v>
      </c>
      <c r="C150" s="19">
        <v>500</v>
      </c>
      <c r="D150" s="20">
        <f>SUM(Tabela28[#This Row])</f>
        <v>0</v>
      </c>
      <c r="E150" s="20">
        <f t="shared" si="21"/>
        <v>500</v>
      </c>
      <c r="F150" s="21">
        <f t="shared" si="22"/>
        <v>0</v>
      </c>
      <c r="G150" s="2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25"/>
      <c r="AO150" s="25"/>
    </row>
    <row r="151" spans="2:41" x14ac:dyDescent="0.2">
      <c r="B151" s="22" t="s">
        <v>23</v>
      </c>
      <c r="C151" s="19">
        <v>0</v>
      </c>
      <c r="D151" s="20">
        <f>SUM(Tabela28[#This Row])</f>
        <v>0</v>
      </c>
      <c r="E151" s="20">
        <f t="shared" si="21"/>
        <v>0</v>
      </c>
      <c r="F151" s="21" t="str">
        <f t="shared" si="22"/>
        <v/>
      </c>
      <c r="G151" s="24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25"/>
      <c r="AO151" s="25"/>
    </row>
    <row r="152" spans="2:41" x14ac:dyDescent="0.2">
      <c r="B152" s="22" t="s">
        <v>9</v>
      </c>
      <c r="C152" s="19">
        <v>0</v>
      </c>
      <c r="D152" s="20">
        <f>SUM(Tabela28[#This Row])</f>
        <v>0</v>
      </c>
      <c r="E152" s="20">
        <f t="shared" si="21"/>
        <v>0</v>
      </c>
      <c r="F152" s="21" t="str">
        <f t="shared" si="22"/>
        <v/>
      </c>
      <c r="G152" s="24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25"/>
      <c r="AO152" s="25"/>
    </row>
    <row r="153" spans="2:41" x14ac:dyDescent="0.2">
      <c r="B153" s="5" t="s">
        <v>30</v>
      </c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</row>
    <row r="154" spans="2:41" x14ac:dyDescent="0.2">
      <c r="B154" s="2" t="s">
        <v>24</v>
      </c>
      <c r="C154" s="3">
        <f>SUM(Tabela16[[#All],[Kolumna2]])</f>
        <v>0</v>
      </c>
      <c r="D154" s="16">
        <f>SUM(Tabela16[[#All],[Kolumna3]])</f>
        <v>0</v>
      </c>
      <c r="E154" s="3">
        <f>C154-D154</f>
        <v>0</v>
      </c>
      <c r="F154" s="17" t="str">
        <f>IFERROR(D154/C154,"")</f>
        <v/>
      </c>
      <c r="G154" s="3"/>
      <c r="I154" s="11" t="s">
        <v>44</v>
      </c>
      <c r="J154" s="11" t="s">
        <v>45</v>
      </c>
      <c r="K154" s="11" t="s">
        <v>46</v>
      </c>
      <c r="L154" s="11" t="s">
        <v>47</v>
      </c>
      <c r="M154" s="11" t="s">
        <v>48</v>
      </c>
      <c r="N154" s="11" t="s">
        <v>49</v>
      </c>
      <c r="O154" s="11" t="s">
        <v>50</v>
      </c>
      <c r="P154" s="11" t="s">
        <v>51</v>
      </c>
      <c r="Q154" s="11" t="s">
        <v>52</v>
      </c>
      <c r="R154" s="11" t="s">
        <v>53</v>
      </c>
      <c r="S154" s="11" t="s">
        <v>54</v>
      </c>
      <c r="T154" s="11" t="s">
        <v>55</v>
      </c>
      <c r="U154" s="11" t="s">
        <v>56</v>
      </c>
      <c r="V154" s="11" t="s">
        <v>57</v>
      </c>
      <c r="W154" s="11" t="s">
        <v>58</v>
      </c>
      <c r="X154" s="11" t="s">
        <v>59</v>
      </c>
      <c r="Y154" s="11" t="s">
        <v>60</v>
      </c>
      <c r="Z154" s="11" t="s">
        <v>61</v>
      </c>
      <c r="AA154" s="11" t="s">
        <v>62</v>
      </c>
      <c r="AB154" s="11" t="s">
        <v>63</v>
      </c>
      <c r="AC154" s="11" t="s">
        <v>64</v>
      </c>
      <c r="AD154" s="11" t="s">
        <v>65</v>
      </c>
      <c r="AE154" s="11" t="s">
        <v>66</v>
      </c>
      <c r="AF154" s="11" t="s">
        <v>67</v>
      </c>
      <c r="AG154" s="11" t="s">
        <v>68</v>
      </c>
      <c r="AH154" s="11" t="s">
        <v>69</v>
      </c>
      <c r="AI154" s="11" t="s">
        <v>70</v>
      </c>
      <c r="AJ154" s="11" t="s">
        <v>71</v>
      </c>
      <c r="AK154" s="11" t="s">
        <v>72</v>
      </c>
      <c r="AL154" s="11" t="s">
        <v>73</v>
      </c>
      <c r="AM154" s="11" t="s">
        <v>74</v>
      </c>
      <c r="AN154" s="25"/>
      <c r="AO154" s="25"/>
    </row>
    <row r="155" spans="2:41" x14ac:dyDescent="0.2">
      <c r="B155" s="22" t="s">
        <v>27</v>
      </c>
      <c r="C155" s="19">
        <v>0</v>
      </c>
      <c r="D155" s="20">
        <f>SUM(Tabela1923[#This Row])</f>
        <v>0</v>
      </c>
      <c r="E155" s="20">
        <f t="shared" ref="E155:E162" si="23">C155-D155</f>
        <v>0</v>
      </c>
      <c r="F155" s="21" t="str">
        <f t="shared" ref="F155:F162" si="24">IFERROR(D155/C155,"")</f>
        <v/>
      </c>
      <c r="G155" s="24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25"/>
      <c r="AO155" s="25"/>
    </row>
    <row r="156" spans="2:41" ht="30" x14ac:dyDescent="0.2">
      <c r="B156" s="22" t="s">
        <v>28</v>
      </c>
      <c r="C156" s="19">
        <v>0</v>
      </c>
      <c r="D156" s="20">
        <f>SUM(Tabela1923[#This Row])</f>
        <v>0</v>
      </c>
      <c r="E156" s="20">
        <f t="shared" si="23"/>
        <v>0</v>
      </c>
      <c r="F156" s="21" t="str">
        <f t="shared" si="24"/>
        <v/>
      </c>
      <c r="G156" s="24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25"/>
      <c r="AO156" s="25"/>
    </row>
    <row r="157" spans="2:41" x14ac:dyDescent="0.2">
      <c r="B157" s="22" t="s">
        <v>29</v>
      </c>
      <c r="C157" s="19">
        <v>0</v>
      </c>
      <c r="D157" s="20">
        <f>SUM(Tabela1923[#This Row])</f>
        <v>0</v>
      </c>
      <c r="E157" s="20">
        <f t="shared" si="23"/>
        <v>0</v>
      </c>
      <c r="F157" s="21" t="str">
        <f t="shared" si="24"/>
        <v/>
      </c>
      <c r="G157" s="24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25"/>
      <c r="AO157" s="25"/>
    </row>
    <row r="158" spans="2:41" x14ac:dyDescent="0.2">
      <c r="B158" s="22" t="s">
        <v>94</v>
      </c>
      <c r="C158" s="19">
        <v>0</v>
      </c>
      <c r="D158" s="20">
        <f>SUM(Tabela1923[#This Row])</f>
        <v>0</v>
      </c>
      <c r="E158" s="20">
        <f t="shared" si="23"/>
        <v>0</v>
      </c>
      <c r="F158" s="21" t="str">
        <f t="shared" si="24"/>
        <v/>
      </c>
      <c r="G158" s="2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25"/>
      <c r="AO158" s="25"/>
    </row>
    <row r="159" spans="2:41" x14ac:dyDescent="0.2">
      <c r="B159" s="22" t="s">
        <v>95</v>
      </c>
      <c r="C159" s="19">
        <v>0</v>
      </c>
      <c r="D159" s="20">
        <f>SUM(Tabela1923[#This Row])</f>
        <v>0</v>
      </c>
      <c r="E159" s="20">
        <f t="shared" si="23"/>
        <v>0</v>
      </c>
      <c r="F159" s="21" t="str">
        <f t="shared" si="24"/>
        <v/>
      </c>
      <c r="G159" s="2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25"/>
      <c r="AO159" s="25"/>
    </row>
    <row r="160" spans="2:41" x14ac:dyDescent="0.2">
      <c r="B160" s="22" t="s">
        <v>96</v>
      </c>
      <c r="C160" s="19">
        <v>0</v>
      </c>
      <c r="D160" s="20">
        <f>SUM(Tabela1923[#This Row])</f>
        <v>0</v>
      </c>
      <c r="E160" s="20">
        <f t="shared" si="23"/>
        <v>0</v>
      </c>
      <c r="F160" s="21" t="str">
        <f t="shared" si="24"/>
        <v/>
      </c>
      <c r="G160" s="2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25"/>
      <c r="AO160" s="25"/>
    </row>
    <row r="161" spans="2:41" x14ac:dyDescent="0.2">
      <c r="B161" s="22" t="s">
        <v>97</v>
      </c>
      <c r="C161" s="19">
        <v>0</v>
      </c>
      <c r="D161" s="20">
        <f>SUM(Tabela1923[#This Row])</f>
        <v>0</v>
      </c>
      <c r="E161" s="20">
        <f t="shared" si="23"/>
        <v>0</v>
      </c>
      <c r="F161" s="21" t="str">
        <f t="shared" si="24"/>
        <v/>
      </c>
      <c r="G161" s="2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25"/>
      <c r="AO161" s="25"/>
    </row>
    <row r="162" spans="2:41" x14ac:dyDescent="0.2">
      <c r="B162" s="22" t="s">
        <v>9</v>
      </c>
      <c r="C162" s="19">
        <v>0</v>
      </c>
      <c r="D162" s="20">
        <f>SUM(Tabela1923[#This Row])</f>
        <v>0</v>
      </c>
      <c r="E162" s="20">
        <f t="shared" si="23"/>
        <v>0</v>
      </c>
      <c r="F162" s="21" t="str">
        <f t="shared" si="24"/>
        <v/>
      </c>
      <c r="G162" s="2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25"/>
      <c r="AO162" s="25"/>
    </row>
    <row r="163" spans="2:41" x14ac:dyDescent="0.2"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</row>
    <row r="164" spans="2:41" ht="30" x14ac:dyDescent="0.2">
      <c r="C164" s="9" t="s">
        <v>131</v>
      </c>
      <c r="D164" s="10" t="s">
        <v>135</v>
      </c>
      <c r="E164" s="8" t="s">
        <v>129</v>
      </c>
      <c r="I164" s="9" t="s">
        <v>44</v>
      </c>
      <c r="J164" s="9" t="s">
        <v>45</v>
      </c>
      <c r="K164" s="9" t="s">
        <v>46</v>
      </c>
      <c r="L164" s="9" t="s">
        <v>47</v>
      </c>
      <c r="M164" s="9" t="s">
        <v>48</v>
      </c>
      <c r="N164" s="9" t="s">
        <v>49</v>
      </c>
      <c r="O164" s="9" t="s">
        <v>50</v>
      </c>
      <c r="P164" s="9" t="s">
        <v>51</v>
      </c>
      <c r="Q164" s="9" t="s">
        <v>52</v>
      </c>
      <c r="R164" s="9" t="s">
        <v>53</v>
      </c>
      <c r="S164" s="9" t="s">
        <v>54</v>
      </c>
      <c r="T164" s="9" t="s">
        <v>55</v>
      </c>
      <c r="U164" s="9" t="s">
        <v>56</v>
      </c>
      <c r="V164" s="9" t="s">
        <v>57</v>
      </c>
      <c r="W164" s="9" t="s">
        <v>58</v>
      </c>
      <c r="X164" s="9" t="s">
        <v>59</v>
      </c>
      <c r="Y164" s="9" t="s">
        <v>60</v>
      </c>
      <c r="Z164" s="9" t="s">
        <v>61</v>
      </c>
      <c r="AA164" s="9" t="s">
        <v>62</v>
      </c>
      <c r="AB164" s="9" t="s">
        <v>63</v>
      </c>
      <c r="AC164" s="9" t="s">
        <v>64</v>
      </c>
      <c r="AD164" s="9" t="s">
        <v>65</v>
      </c>
      <c r="AE164" s="9" t="s">
        <v>66</v>
      </c>
      <c r="AF164" s="9" t="s">
        <v>67</v>
      </c>
      <c r="AG164" s="9" t="s">
        <v>68</v>
      </c>
      <c r="AH164" s="9" t="s">
        <v>69</v>
      </c>
      <c r="AI164" s="9" t="s">
        <v>70</v>
      </c>
      <c r="AJ164" s="9" t="s">
        <v>71</v>
      </c>
      <c r="AK164" s="9" t="s">
        <v>72</v>
      </c>
      <c r="AL164" s="9" t="s">
        <v>73</v>
      </c>
      <c r="AM164" s="9" t="s">
        <v>74</v>
      </c>
    </row>
    <row r="165" spans="2:41" ht="22" customHeight="1" x14ac:dyDescent="0.2">
      <c r="B165" s="39" t="s">
        <v>31</v>
      </c>
      <c r="C165" s="40">
        <f>C60</f>
        <v>6869.9</v>
      </c>
      <c r="D165" s="40">
        <f>D60</f>
        <v>2055</v>
      </c>
      <c r="E165" s="40">
        <f>C165-D165</f>
        <v>4814.8999999999996</v>
      </c>
      <c r="G165" s="39" t="s">
        <v>126</v>
      </c>
      <c r="I165" s="43">
        <f>SUM(I62:I162)</f>
        <v>1835</v>
      </c>
      <c r="J165" s="43">
        <f>SUM(J62:J162)</f>
        <v>0</v>
      </c>
      <c r="K165" s="43">
        <f t="shared" ref="K165:AM165" si="25">SUM(K62:K162)</f>
        <v>0</v>
      </c>
      <c r="L165" s="43">
        <f t="shared" si="25"/>
        <v>0</v>
      </c>
      <c r="M165" s="43">
        <f t="shared" si="25"/>
        <v>0</v>
      </c>
      <c r="N165" s="43">
        <f t="shared" si="25"/>
        <v>60</v>
      </c>
      <c r="O165" s="43">
        <f t="shared" si="25"/>
        <v>0</v>
      </c>
      <c r="P165" s="43">
        <f t="shared" si="25"/>
        <v>0</v>
      </c>
      <c r="Q165" s="43">
        <f t="shared" si="25"/>
        <v>0</v>
      </c>
      <c r="R165" s="43">
        <f t="shared" si="25"/>
        <v>0</v>
      </c>
      <c r="S165" s="43">
        <f t="shared" si="25"/>
        <v>120</v>
      </c>
      <c r="T165" s="43">
        <f t="shared" si="25"/>
        <v>0</v>
      </c>
      <c r="U165" s="43">
        <f t="shared" si="25"/>
        <v>0</v>
      </c>
      <c r="V165" s="43">
        <f t="shared" si="25"/>
        <v>40</v>
      </c>
      <c r="W165" s="43">
        <f t="shared" si="25"/>
        <v>0</v>
      </c>
      <c r="X165" s="43">
        <f t="shared" si="25"/>
        <v>0</v>
      </c>
      <c r="Y165" s="43">
        <f t="shared" si="25"/>
        <v>0</v>
      </c>
      <c r="Z165" s="43">
        <f t="shared" si="25"/>
        <v>0</v>
      </c>
      <c r="AA165" s="43">
        <f t="shared" si="25"/>
        <v>0</v>
      </c>
      <c r="AB165" s="43">
        <f t="shared" si="25"/>
        <v>0</v>
      </c>
      <c r="AC165" s="43">
        <f t="shared" si="25"/>
        <v>0</v>
      </c>
      <c r="AD165" s="43">
        <f t="shared" si="25"/>
        <v>0</v>
      </c>
      <c r="AE165" s="43">
        <f t="shared" si="25"/>
        <v>0</v>
      </c>
      <c r="AF165" s="43">
        <f t="shared" si="25"/>
        <v>0</v>
      </c>
      <c r="AG165" s="43">
        <f t="shared" si="25"/>
        <v>0</v>
      </c>
      <c r="AH165" s="43">
        <f t="shared" si="25"/>
        <v>0</v>
      </c>
      <c r="AI165" s="43">
        <f t="shared" si="25"/>
        <v>0</v>
      </c>
      <c r="AJ165" s="43">
        <f t="shared" si="25"/>
        <v>0</v>
      </c>
      <c r="AK165" s="43">
        <f t="shared" si="25"/>
        <v>0</v>
      </c>
      <c r="AL165" s="43">
        <f t="shared" si="25"/>
        <v>0</v>
      </c>
      <c r="AM165" s="43">
        <f t="shared" si="25"/>
        <v>0</v>
      </c>
    </row>
    <row r="166" spans="2:41" x14ac:dyDescent="0.2"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</row>
  </sheetData>
  <mergeCells count="24">
    <mergeCell ref="B16:C16"/>
    <mergeCell ref="B2:C2"/>
    <mergeCell ref="D2:E2"/>
    <mergeCell ref="B9:C9"/>
    <mergeCell ref="B10:C10"/>
    <mergeCell ref="B12:C12"/>
    <mergeCell ref="B4:E4"/>
    <mergeCell ref="B17:C17"/>
    <mergeCell ref="B19:C19"/>
    <mergeCell ref="B21:E21"/>
    <mergeCell ref="B23:D23"/>
    <mergeCell ref="B25:E25"/>
    <mergeCell ref="C38:D3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</mergeCells>
  <conditionalFormatting sqref="D62">
    <cfRule type="dataBar" priority="39">
      <dataBar>
        <cfvo type="num" val="0"/>
        <cfvo type="formula" val="$C$62"/>
        <color rgb="FF92D050"/>
      </dataBar>
      <extLst>
        <ext xmlns:x14="http://schemas.microsoft.com/office/spreadsheetml/2009/9/main" uri="{B025F937-C7B1-47D3-B67F-A62EFF666E3E}">
          <x14:id>{B091F2CE-1939-6046-8241-8DF594867C40}</x14:id>
        </ext>
      </extLst>
    </cfRule>
  </conditionalFormatting>
  <conditionalFormatting sqref="D69">
    <cfRule type="dataBar" priority="36">
      <dataBar>
        <cfvo type="num" val="0"/>
        <cfvo type="formula" val="$C$69"/>
        <color rgb="FF92D050"/>
      </dataBar>
      <extLst>
        <ext xmlns:x14="http://schemas.microsoft.com/office/spreadsheetml/2009/9/main" uri="{B025F937-C7B1-47D3-B67F-A62EFF666E3E}">
          <x14:id>{B2C1FF85-6699-874C-B58E-ECCFEB2ADAC1}</x14:id>
        </ext>
      </extLst>
    </cfRule>
  </conditionalFormatting>
  <conditionalFormatting sqref="B23:D23">
    <cfRule type="dataBar" priority="25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{ED183C4C-D75E-8B42-81C7-0C8EAA1001FA}</x14:id>
        </ext>
      </extLst>
    </cfRule>
  </conditionalFormatting>
  <conditionalFormatting sqref="C27:D27">
    <cfRule type="dataBar" priority="23">
      <dataBar>
        <cfvo type="num" val="0"/>
        <cfvo type="formula" val="$C$62"/>
        <color rgb="FF92D050"/>
      </dataBar>
      <extLst>
        <ext xmlns:x14="http://schemas.microsoft.com/office/spreadsheetml/2009/9/main" uri="{B025F937-C7B1-47D3-B67F-A62EFF666E3E}">
          <x14:id>{ACA1989E-5007-3E4B-96F8-A45D35A0A7ED}</x14:id>
        </ext>
      </extLst>
    </cfRule>
  </conditionalFormatting>
  <conditionalFormatting sqref="D81">
    <cfRule type="dataBar" priority="22">
      <dataBar>
        <cfvo type="num" val="0"/>
        <cfvo type="formula" val="$C$81"/>
        <color rgb="FF92D050"/>
      </dataBar>
      <extLst>
        <ext xmlns:x14="http://schemas.microsoft.com/office/spreadsheetml/2009/9/main" uri="{B025F937-C7B1-47D3-B67F-A62EFF666E3E}">
          <x14:id>{DADAB245-5540-6643-8329-447B56DAEC25}</x14:id>
        </ext>
      </extLst>
    </cfRule>
  </conditionalFormatting>
  <conditionalFormatting sqref="C28:D28">
    <cfRule type="dataBar" priority="21">
      <dataBar>
        <cfvo type="num" val="0"/>
        <cfvo type="formula" val="$C$69"/>
        <color rgb="FF92D050"/>
      </dataBar>
      <extLst>
        <ext xmlns:x14="http://schemas.microsoft.com/office/spreadsheetml/2009/9/main" uri="{B025F937-C7B1-47D3-B67F-A62EFF666E3E}">
          <x14:id>{50C5D094-8414-CE46-9728-4A047B6158C5}</x14:id>
        </ext>
      </extLst>
    </cfRule>
  </conditionalFormatting>
  <conditionalFormatting sqref="C29:D29">
    <cfRule type="dataBar" priority="20">
      <dataBar>
        <cfvo type="num" val="0"/>
        <cfvo type="formula" val="$C$81"/>
        <color rgb="FF92D050"/>
      </dataBar>
      <extLst>
        <ext xmlns:x14="http://schemas.microsoft.com/office/spreadsheetml/2009/9/main" uri="{B025F937-C7B1-47D3-B67F-A62EFF666E3E}">
          <x14:id>{FCF582E6-DC24-544C-856D-1E962C80864C}</x14:id>
        </ext>
      </extLst>
    </cfRule>
  </conditionalFormatting>
  <conditionalFormatting sqref="C30:D30">
    <cfRule type="dataBar" priority="19">
      <dataBar>
        <cfvo type="num" val="0"/>
        <cfvo type="formula" val="$C$91"/>
        <color rgb="FF92D050"/>
      </dataBar>
      <extLst>
        <ext xmlns:x14="http://schemas.microsoft.com/office/spreadsheetml/2009/9/main" uri="{B025F937-C7B1-47D3-B67F-A62EFF666E3E}">
          <x14:id>{06BEA363-D0E0-4F49-B91B-D34790ABC2D2}</x14:id>
        </ext>
      </extLst>
    </cfRule>
  </conditionalFormatting>
  <conditionalFormatting sqref="C31:D31">
    <cfRule type="dataBar" priority="18">
      <dataBar>
        <cfvo type="num" val="0"/>
        <cfvo type="formula" val="$C$98"/>
        <color rgb="FF92D050"/>
      </dataBar>
      <extLst>
        <ext xmlns:x14="http://schemas.microsoft.com/office/spreadsheetml/2009/9/main" uri="{B025F937-C7B1-47D3-B67F-A62EFF666E3E}">
          <x14:id>{1D64D2D7-A8B5-D54B-BAFD-10901B6A18B7}</x14:id>
        </ext>
      </extLst>
    </cfRule>
  </conditionalFormatting>
  <conditionalFormatting sqref="C32:D32">
    <cfRule type="dataBar" priority="17">
      <dataBar>
        <cfvo type="num" val="0"/>
        <cfvo type="formula" val="$C$104"/>
        <color rgb="FF92D050"/>
      </dataBar>
      <extLst>
        <ext xmlns:x14="http://schemas.microsoft.com/office/spreadsheetml/2009/9/main" uri="{B025F937-C7B1-47D3-B67F-A62EFF666E3E}">
          <x14:id>{F618BBA6-CF1B-8545-ABAD-3042F4CA1158}</x14:id>
        </ext>
      </extLst>
    </cfRule>
  </conditionalFormatting>
  <conditionalFormatting sqref="C33:D33">
    <cfRule type="dataBar" priority="16">
      <dataBar>
        <cfvo type="num" val="0"/>
        <cfvo type="formula" val="$C$111"/>
        <color rgb="FF92D050"/>
      </dataBar>
      <extLst>
        <ext xmlns:x14="http://schemas.microsoft.com/office/spreadsheetml/2009/9/main" uri="{B025F937-C7B1-47D3-B67F-A62EFF666E3E}">
          <x14:id>{80E43812-CB9F-114B-81F4-6BA9566B0B31}</x14:id>
        </ext>
      </extLst>
    </cfRule>
  </conditionalFormatting>
  <conditionalFormatting sqref="C34:D34">
    <cfRule type="dataBar" priority="15">
      <dataBar>
        <cfvo type="num" val="0"/>
        <cfvo type="formula" val="$C$118"/>
        <color rgb="FF92D050"/>
      </dataBar>
      <extLst>
        <ext xmlns:x14="http://schemas.microsoft.com/office/spreadsheetml/2009/9/main" uri="{B025F937-C7B1-47D3-B67F-A62EFF666E3E}">
          <x14:id>{F707F1BD-5180-F54B-9F4A-3002FCD6C68B}</x14:id>
        </ext>
      </extLst>
    </cfRule>
  </conditionalFormatting>
  <conditionalFormatting sqref="C35:D35">
    <cfRule type="dataBar" priority="14">
      <dataBar>
        <cfvo type="num" val="0"/>
        <cfvo type="formula" val="$C$126"/>
        <color rgb="FF92D050"/>
      </dataBar>
      <extLst>
        <ext xmlns:x14="http://schemas.microsoft.com/office/spreadsheetml/2009/9/main" uri="{B025F937-C7B1-47D3-B67F-A62EFF666E3E}">
          <x14:id>{0C7D924F-6385-9242-B30E-BAAF3F5ED703}</x14:id>
        </ext>
      </extLst>
    </cfRule>
  </conditionalFormatting>
  <conditionalFormatting sqref="C36:D36">
    <cfRule type="dataBar" priority="13">
      <dataBar>
        <cfvo type="num" val="0"/>
        <cfvo type="formula" val="$C$136"/>
        <color rgb="FF92D050"/>
      </dataBar>
      <extLst>
        <ext xmlns:x14="http://schemas.microsoft.com/office/spreadsheetml/2009/9/main" uri="{B025F937-C7B1-47D3-B67F-A62EFF666E3E}">
          <x14:id>{F77023F4-1DC1-5845-A239-16789EDB3C0B}</x14:id>
        </ext>
      </extLst>
    </cfRule>
  </conditionalFormatting>
  <conditionalFormatting sqref="C37:D37">
    <cfRule type="dataBar" priority="12">
      <dataBar>
        <cfvo type="num" val="0"/>
        <cfvo type="formula" val="$C$146"/>
        <color rgb="FF92D050"/>
      </dataBar>
      <extLst>
        <ext xmlns:x14="http://schemas.microsoft.com/office/spreadsheetml/2009/9/main" uri="{B025F937-C7B1-47D3-B67F-A62EFF666E3E}">
          <x14:id>{48133A1D-2435-8342-932B-A201055FF540}</x14:id>
        </ext>
      </extLst>
    </cfRule>
  </conditionalFormatting>
  <conditionalFormatting sqref="C38:D38">
    <cfRule type="dataBar" priority="11">
      <dataBar>
        <cfvo type="num" val="0"/>
        <cfvo type="formula" val="$C$154"/>
        <color rgb="FF92D050"/>
      </dataBar>
      <extLst>
        <ext xmlns:x14="http://schemas.microsoft.com/office/spreadsheetml/2009/9/main" uri="{B025F937-C7B1-47D3-B67F-A62EFF666E3E}">
          <x14:id>{A58A46DD-3812-2A45-B434-D9D624C3E388}</x14:id>
        </ext>
      </extLst>
    </cfRule>
  </conditionalFormatting>
  <conditionalFormatting sqref="D91">
    <cfRule type="dataBar" priority="10">
      <dataBar>
        <cfvo type="num" val="0"/>
        <cfvo type="formula" val="$C$91"/>
        <color rgb="FF92D050"/>
      </dataBar>
      <extLst>
        <ext xmlns:x14="http://schemas.microsoft.com/office/spreadsheetml/2009/9/main" uri="{B025F937-C7B1-47D3-B67F-A62EFF666E3E}">
          <x14:id>{4111347E-5B78-5E41-BEC4-BF46C0837A46}</x14:id>
        </ext>
      </extLst>
    </cfRule>
  </conditionalFormatting>
  <conditionalFormatting sqref="D98">
    <cfRule type="dataBar" priority="9">
      <dataBar>
        <cfvo type="num" val="0"/>
        <cfvo type="formula" val="$C$98"/>
        <color rgb="FF92D050"/>
      </dataBar>
      <extLst>
        <ext xmlns:x14="http://schemas.microsoft.com/office/spreadsheetml/2009/9/main" uri="{B025F937-C7B1-47D3-B67F-A62EFF666E3E}">
          <x14:id>{D13E1AC8-7CA1-504A-97AB-F764613A87F5}</x14:id>
        </ext>
      </extLst>
    </cfRule>
  </conditionalFormatting>
  <conditionalFormatting sqref="D104">
    <cfRule type="dataBar" priority="8">
      <dataBar>
        <cfvo type="num" val="0"/>
        <cfvo type="formula" val="$C$104"/>
        <color rgb="FF92D050"/>
      </dataBar>
      <extLst>
        <ext xmlns:x14="http://schemas.microsoft.com/office/spreadsheetml/2009/9/main" uri="{B025F937-C7B1-47D3-B67F-A62EFF666E3E}">
          <x14:id>{9F32697B-0677-514B-AB5B-9BB7C5D791E3}</x14:id>
        </ext>
      </extLst>
    </cfRule>
  </conditionalFormatting>
  <conditionalFormatting sqref="D111">
    <cfRule type="dataBar" priority="7">
      <dataBar>
        <cfvo type="num" val="0"/>
        <cfvo type="formula" val="$C$111"/>
        <color rgb="FF92D050"/>
      </dataBar>
      <extLst>
        <ext xmlns:x14="http://schemas.microsoft.com/office/spreadsheetml/2009/9/main" uri="{B025F937-C7B1-47D3-B67F-A62EFF666E3E}">
          <x14:id>{45E7A90D-83C6-F545-BE44-DC80CEBAD7D5}</x14:id>
        </ext>
      </extLst>
    </cfRule>
  </conditionalFormatting>
  <conditionalFormatting sqref="D118">
    <cfRule type="dataBar" priority="6">
      <dataBar>
        <cfvo type="num" val="0"/>
        <cfvo type="formula" val="$C$118"/>
        <color rgb="FF92D050"/>
      </dataBar>
      <extLst>
        <ext xmlns:x14="http://schemas.microsoft.com/office/spreadsheetml/2009/9/main" uri="{B025F937-C7B1-47D3-B67F-A62EFF666E3E}">
          <x14:id>{2BB00FE8-0DA6-5140-B234-6B0EA0B87D22}</x14:id>
        </ext>
      </extLst>
    </cfRule>
  </conditionalFormatting>
  <conditionalFormatting sqref="D126">
    <cfRule type="dataBar" priority="5">
      <dataBar>
        <cfvo type="num" val="0"/>
        <cfvo type="formula" val="$C$126"/>
        <color rgb="FF92D050"/>
      </dataBar>
      <extLst>
        <ext xmlns:x14="http://schemas.microsoft.com/office/spreadsheetml/2009/9/main" uri="{B025F937-C7B1-47D3-B67F-A62EFF666E3E}">
          <x14:id>{77CA9AEA-0DD1-4C4A-927B-D1A155C1EE54}</x14:id>
        </ext>
      </extLst>
    </cfRule>
  </conditionalFormatting>
  <conditionalFormatting sqref="D136">
    <cfRule type="dataBar" priority="4">
      <dataBar>
        <cfvo type="num" val="0"/>
        <cfvo type="formula" val="$C$136"/>
        <color rgb="FF92D050"/>
      </dataBar>
      <extLst>
        <ext xmlns:x14="http://schemas.microsoft.com/office/spreadsheetml/2009/9/main" uri="{B025F937-C7B1-47D3-B67F-A62EFF666E3E}">
          <x14:id>{7513F7E4-7E03-5940-8ECE-16C76A08F73A}</x14:id>
        </ext>
      </extLst>
    </cfRule>
  </conditionalFormatting>
  <conditionalFormatting sqref="D146">
    <cfRule type="dataBar" priority="3">
      <dataBar>
        <cfvo type="num" val="0"/>
        <cfvo type="formula" val="$C$146"/>
        <color rgb="FF92D050"/>
      </dataBar>
      <extLst>
        <ext xmlns:x14="http://schemas.microsoft.com/office/spreadsheetml/2009/9/main" uri="{B025F937-C7B1-47D3-B67F-A62EFF666E3E}">
          <x14:id>{1A5AB558-7800-D44B-9435-7454B57143EA}</x14:id>
        </ext>
      </extLst>
    </cfRule>
  </conditionalFormatting>
  <conditionalFormatting sqref="D154">
    <cfRule type="dataBar" priority="2">
      <dataBar>
        <cfvo type="num" val="0"/>
        <cfvo type="formula" val="$C$154"/>
        <color rgb="FF92D050"/>
      </dataBar>
      <extLst>
        <ext xmlns:x14="http://schemas.microsoft.com/office/spreadsheetml/2009/9/main" uri="{B025F937-C7B1-47D3-B67F-A62EFF666E3E}">
          <x14:id>{697AB76F-182D-2243-9642-BF9F7D888C52}</x14:id>
        </ext>
      </extLst>
    </cfRule>
  </conditionalFormatting>
  <conditionalFormatting sqref="D48">
    <cfRule type="dataBar" priority="1">
      <dataBar>
        <cfvo type="num" val="0"/>
        <cfvo type="formula" val="$C$48"/>
        <color rgb="FF92D050"/>
      </dataBar>
      <extLst>
        <ext xmlns:x14="http://schemas.microsoft.com/office/spreadsheetml/2009/9/main" uri="{B025F937-C7B1-47D3-B67F-A62EFF666E3E}">
          <x14:id>{69FC4BFC-E082-1147-88D5-71D072BFA2DB}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drawing r:id="rId2"/>
  <tableParts count="25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91F2CE-1939-6046-8241-8DF594867C40}">
            <x14:dataBar minLength="0" maxLength="100" gradient="0">
              <x14:cfvo type="num">
                <xm:f>0</xm:f>
              </x14:cfvo>
              <x14:cfvo type="formula">
                <xm:f>$C$62</xm:f>
              </x14:cfvo>
              <x14:negativeFillColor rgb="FFFF0000"/>
              <x14:axisColor rgb="FF000000"/>
            </x14:dataBar>
          </x14:cfRule>
          <xm:sqref>D62</xm:sqref>
        </x14:conditionalFormatting>
        <x14:conditionalFormatting xmlns:xm="http://schemas.microsoft.com/office/excel/2006/main">
          <x14:cfRule type="dataBar" id="{B2C1FF85-6699-874C-B58E-ECCFEB2ADAC1}">
            <x14:dataBar minLength="0" maxLength="100" gradient="0">
              <x14:cfvo type="num">
                <xm:f>0</xm:f>
              </x14:cfvo>
              <x14:cfvo type="formula">
                <xm:f>$C$69</xm:f>
              </x14:cfvo>
              <x14:negativeFillColor rgb="FFFF0000"/>
              <x14:axisColor rgb="FF000000"/>
            </x14:dataBar>
          </x14:cfRule>
          <xm:sqref>D69</xm:sqref>
        </x14:conditionalFormatting>
        <x14:conditionalFormatting xmlns:xm="http://schemas.microsoft.com/office/excel/2006/main">
          <x14:cfRule type="dataBar" id="{ED183C4C-D75E-8B42-81C7-0C8EAA1001FA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ACA1989E-5007-3E4B-96F8-A45D35A0A7ED}">
            <x14:dataBar minLength="0" maxLength="100" gradient="0" direction="leftToRight">
              <x14:cfvo type="num">
                <xm:f>0</xm:f>
              </x14:cfvo>
              <x14:cfvo type="formula">
                <xm:f>$C$62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DADAB245-5540-6643-8329-447B56DAEC25}">
            <x14:dataBar minLength="0" maxLength="100" gradient="0">
              <x14:cfvo type="num">
                <xm:f>0</xm:f>
              </x14:cfvo>
              <x14:cfvo type="formula">
                <xm:f>$C$81</xm:f>
              </x14:cfvo>
              <x14:negativeFillColor rgb="FFFF0000"/>
              <x14:axisColor rgb="FF000000"/>
            </x14:dataBar>
          </x14:cfRule>
          <xm:sqref>D81</xm:sqref>
        </x14:conditionalFormatting>
        <x14:conditionalFormatting xmlns:xm="http://schemas.microsoft.com/office/excel/2006/main">
          <x14:cfRule type="dataBar" id="{50C5D094-8414-CE46-9728-4A047B6158C5}">
            <x14:dataBar minLength="0" maxLength="100" gradient="0" direction="leftToRight">
              <x14:cfvo type="num">
                <xm:f>0</xm:f>
              </x14:cfvo>
              <x14:cfvo type="formula">
                <xm:f>$C$69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FCF582E6-DC24-544C-856D-1E962C80864C}">
            <x14:dataBar minLength="0" maxLength="100" gradient="0" direction="leftToRight">
              <x14:cfvo type="num">
                <xm:f>0</xm:f>
              </x14:cfvo>
              <x14:cfvo type="formula">
                <xm:f>$C$81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06BEA363-D0E0-4F49-B91B-D34790ABC2D2}">
            <x14:dataBar minLength="0" maxLength="100" gradient="0" direction="leftToRight">
              <x14:cfvo type="num">
                <xm:f>0</xm:f>
              </x14:cfvo>
              <x14:cfvo type="formula">
                <xm:f>$C$91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1D64D2D7-A8B5-D54B-BAFD-10901B6A18B7}">
            <x14:dataBar minLength="0" maxLength="100" gradient="0" direction="leftToRight">
              <x14:cfvo type="num">
                <xm:f>0</xm:f>
              </x14:cfvo>
              <x14:cfvo type="formula">
                <xm:f>$C$98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F618BBA6-CF1B-8545-ABAD-3042F4CA1158}">
            <x14:dataBar minLength="0" maxLength="100" gradient="0" direction="leftToRight">
              <x14:cfvo type="num">
                <xm:f>0</xm:f>
              </x14:cfvo>
              <x14:cfvo type="formula">
                <xm:f>$C$104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80E43812-CB9F-114B-81F4-6BA9566B0B31}">
            <x14:dataBar minLength="0" maxLength="100" gradient="0" direction="leftToRight">
              <x14:cfvo type="num">
                <xm:f>0</xm:f>
              </x14:cfvo>
              <x14:cfvo type="formula">
                <xm:f>$C$111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F707F1BD-5180-F54B-9F4A-3002FCD6C68B}">
            <x14:dataBar minLength="0" maxLength="100" gradient="0" direction="leftToRight">
              <x14:cfvo type="num">
                <xm:f>0</xm:f>
              </x14:cfvo>
              <x14:cfvo type="formula">
                <xm:f>$C$118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0C7D924F-6385-9242-B30E-BAAF3F5ED703}">
            <x14:dataBar minLength="0" maxLength="100" gradient="0" direction="leftToRight">
              <x14:cfvo type="num">
                <xm:f>0</xm:f>
              </x14:cfvo>
              <x14:cfvo type="formula">
                <xm:f>$C$126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F77023F4-1DC1-5845-A239-16789EDB3C0B}">
            <x14:dataBar minLength="0" maxLength="100" gradient="0" direction="leftToRight">
              <x14:cfvo type="num">
                <xm:f>0</xm:f>
              </x14:cfvo>
              <x14:cfvo type="formula">
                <xm:f>$C$136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48133A1D-2435-8342-932B-A201055FF540}">
            <x14:dataBar minLength="0" maxLength="100" gradient="0" direction="leftToRight">
              <x14:cfvo type="num">
                <xm:f>0</xm:f>
              </x14:cfvo>
              <x14:cfvo type="formula">
                <xm:f>$C$146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A58A46DD-3812-2A45-B434-D9D624C3E388}">
            <x14:dataBar minLength="0" maxLength="100" gradient="0" direction="leftToRight">
              <x14:cfvo type="num">
                <xm:f>0</xm:f>
              </x14:cfvo>
              <x14:cfvo type="formula">
                <xm:f>$C$154</xm:f>
              </x14:cfvo>
              <x14:negativeFillColor rgb="FFFF0000"/>
              <x14:axisColor rgb="FF000000"/>
            </x14:dataBar>
          </x14:cfRule>
          <xm:sqref>C38:D38</xm:sqref>
        </x14:conditionalFormatting>
        <x14:conditionalFormatting xmlns:xm="http://schemas.microsoft.com/office/excel/2006/main">
          <x14:cfRule type="dataBar" id="{4111347E-5B78-5E41-BEC4-BF46C0837A46}">
            <x14:dataBar minLength="0" maxLength="100" gradient="0">
              <x14:cfvo type="num">
                <xm:f>0</xm:f>
              </x14:cfvo>
              <x14:cfvo type="formula">
                <xm:f>$C$91</xm:f>
              </x14:cfvo>
              <x14:negativeFillColor rgb="FFFF0000"/>
              <x14:axisColor rgb="FF000000"/>
            </x14:dataBar>
          </x14:cfRule>
          <xm:sqref>D91</xm:sqref>
        </x14:conditionalFormatting>
        <x14:conditionalFormatting xmlns:xm="http://schemas.microsoft.com/office/excel/2006/main">
          <x14:cfRule type="dataBar" id="{D13E1AC8-7CA1-504A-97AB-F764613A87F5}">
            <x14:dataBar minLength="0" maxLength="100" gradient="0">
              <x14:cfvo type="num">
                <xm:f>0</xm:f>
              </x14:cfvo>
              <x14:cfvo type="formula">
                <xm:f>$C$98</xm:f>
              </x14:cfvo>
              <x14:negativeFillColor rgb="FFFF0000"/>
              <x14:axisColor rgb="FF000000"/>
            </x14:dataBar>
          </x14:cfRule>
          <xm:sqref>D98</xm:sqref>
        </x14:conditionalFormatting>
        <x14:conditionalFormatting xmlns:xm="http://schemas.microsoft.com/office/excel/2006/main">
          <x14:cfRule type="dataBar" id="{9F32697B-0677-514B-AB5B-9BB7C5D791E3}">
            <x14:dataBar minLength="0" maxLength="100" gradient="0">
              <x14:cfvo type="num">
                <xm:f>0</xm:f>
              </x14:cfvo>
              <x14:cfvo type="formula">
                <xm:f>$C$104</xm:f>
              </x14:cfvo>
              <x14:negativeFillColor rgb="FFFF0000"/>
              <x14:axisColor rgb="FF000000"/>
            </x14:dataBar>
          </x14:cfRule>
          <xm:sqref>D104</xm:sqref>
        </x14:conditionalFormatting>
        <x14:conditionalFormatting xmlns:xm="http://schemas.microsoft.com/office/excel/2006/main">
          <x14:cfRule type="dataBar" id="{45E7A90D-83C6-F545-BE44-DC80CEBAD7D5}">
            <x14:dataBar minLength="0" maxLength="100" gradient="0">
              <x14:cfvo type="num">
                <xm:f>0</xm:f>
              </x14:cfvo>
              <x14:cfvo type="formula">
                <xm:f>$C$111</xm:f>
              </x14:cfvo>
              <x14:negativeFillColor rgb="FFFF0000"/>
              <x14:axisColor rgb="FF000000"/>
            </x14:dataBar>
          </x14:cfRule>
          <xm:sqref>D111</xm:sqref>
        </x14:conditionalFormatting>
        <x14:conditionalFormatting xmlns:xm="http://schemas.microsoft.com/office/excel/2006/main">
          <x14:cfRule type="dataBar" id="{2BB00FE8-0DA6-5140-B234-6B0EA0B87D22}">
            <x14:dataBar minLength="0" maxLength="100" gradient="0">
              <x14:cfvo type="num">
                <xm:f>0</xm:f>
              </x14:cfvo>
              <x14:cfvo type="formula">
                <xm:f>$C$118</xm:f>
              </x14:cfvo>
              <x14:negativeFillColor rgb="FFFF0000"/>
              <x14:axisColor rgb="FF000000"/>
            </x14:dataBar>
          </x14:cfRule>
          <xm:sqref>D118</xm:sqref>
        </x14:conditionalFormatting>
        <x14:conditionalFormatting xmlns:xm="http://schemas.microsoft.com/office/excel/2006/main">
          <x14:cfRule type="dataBar" id="{77CA9AEA-0DD1-4C4A-927B-D1A155C1EE54}">
            <x14:dataBar minLength="0" maxLength="100" gradient="0">
              <x14:cfvo type="num">
                <xm:f>0</xm:f>
              </x14:cfvo>
              <x14:cfvo type="formula">
                <xm:f>$C$126</xm:f>
              </x14:cfvo>
              <x14:negativeFillColor rgb="FFFF0000"/>
              <x14:axisColor rgb="FF000000"/>
            </x14:dataBar>
          </x14:cfRule>
          <xm:sqref>D126</xm:sqref>
        </x14:conditionalFormatting>
        <x14:conditionalFormatting xmlns:xm="http://schemas.microsoft.com/office/excel/2006/main">
          <x14:cfRule type="dataBar" id="{7513F7E4-7E03-5940-8ECE-16C76A08F73A}">
            <x14:dataBar minLength="0" maxLength="100" gradient="0">
              <x14:cfvo type="num">
                <xm:f>0</xm:f>
              </x14:cfvo>
              <x14:cfvo type="formula">
                <xm:f>$C$136</xm:f>
              </x14:cfvo>
              <x14:negativeFillColor rgb="FFFF0000"/>
              <x14:axisColor rgb="FF000000"/>
            </x14:dataBar>
          </x14:cfRule>
          <xm:sqref>D136</xm:sqref>
        </x14:conditionalFormatting>
        <x14:conditionalFormatting xmlns:xm="http://schemas.microsoft.com/office/excel/2006/main">
          <x14:cfRule type="dataBar" id="{1A5AB558-7800-D44B-9435-7454B57143EA}">
            <x14:dataBar minLength="0" maxLength="100" gradient="0">
              <x14:cfvo type="num">
                <xm:f>0</xm:f>
              </x14:cfvo>
              <x14:cfvo type="formula">
                <xm:f>$C$146</xm:f>
              </x14:cfvo>
              <x14:negativeFillColor rgb="FFFF0000"/>
              <x14:axisColor rgb="FF000000"/>
            </x14:dataBar>
          </x14:cfRule>
          <xm:sqref>D146</xm:sqref>
        </x14:conditionalFormatting>
        <x14:conditionalFormatting xmlns:xm="http://schemas.microsoft.com/office/excel/2006/main">
          <x14:cfRule type="dataBar" id="{697AB76F-182D-2243-9642-BF9F7D888C52}">
            <x14:dataBar minLength="0" maxLength="100" gradient="0">
              <x14:cfvo type="num">
                <xm:f>0</xm:f>
              </x14:cfvo>
              <x14:cfvo type="formula">
                <xm:f>$C$154</xm:f>
              </x14:cfvo>
              <x14:negativeFillColor rgb="FFFF0000"/>
              <x14:axisColor rgb="FF000000"/>
            </x14:dataBar>
          </x14:cfRule>
          <xm:sqref>D154</xm:sqref>
        </x14:conditionalFormatting>
        <x14:conditionalFormatting xmlns:xm="http://schemas.microsoft.com/office/excel/2006/main">
          <x14:cfRule type="dataBar" id="{69FC4BFC-E082-1147-88D5-71D072BFA2DB}">
            <x14:dataBar minLength="0" maxLength="100" gradient="0">
              <x14:cfvo type="num">
                <xm:f>0</xm:f>
              </x14:cfvo>
              <x14:cfvo type="formula">
                <xm:f>$C$48</xm:f>
              </x14:cfvo>
              <x14:negativeFillColor rgb="FFFF0000"/>
              <x14:axisColor rgb="FF000000"/>
            </x14:dataBar>
          </x14:cfRule>
          <xm:sqref>D48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 enableFormatConditionsCalculation="0"/>
  <dimension ref="B2:AO255"/>
  <sheetViews>
    <sheetView showGridLines="0" workbookViewId="0">
      <pane xSplit="8" topLeftCell="I1" activePane="topRight" state="frozen"/>
      <selection activeCell="A12" sqref="A12"/>
      <selection pane="topRight" activeCell="I2" sqref="I2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  <col min="9" max="39" width="11.33203125" customWidth="1"/>
  </cols>
  <sheetData>
    <row r="2" spans="2:7" ht="24" x14ac:dyDescent="0.3">
      <c r="B2" s="66" t="s">
        <v>130</v>
      </c>
      <c r="C2" s="66"/>
      <c r="D2" s="67" t="s">
        <v>165</v>
      </c>
      <c r="E2" s="68"/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69" t="s">
        <v>144</v>
      </c>
      <c r="C4" s="70"/>
      <c r="D4" s="70"/>
      <c r="E4" s="70"/>
    </row>
    <row r="5" spans="2:7" outlineLevel="1" x14ac:dyDescent="0.2">
      <c r="B5" s="41" t="s">
        <v>147</v>
      </c>
      <c r="C5" s="45" t="s">
        <v>148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132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62" t="s">
        <v>127</v>
      </c>
      <c r="C9" s="62"/>
      <c r="D9" s="34">
        <f>C49</f>
        <v>0</v>
      </c>
      <c r="E9" s="18"/>
    </row>
    <row r="10" spans="2:7" x14ac:dyDescent="0.2">
      <c r="B10" s="62" t="s">
        <v>131</v>
      </c>
      <c r="C10" s="62"/>
      <c r="D10" s="34">
        <f>C71</f>
        <v>0</v>
      </c>
      <c r="E10" s="18"/>
    </row>
    <row r="11" spans="2:7" x14ac:dyDescent="0.2">
      <c r="B11" s="48"/>
      <c r="C11" s="48"/>
      <c r="D11" s="31"/>
      <c r="E11" s="18"/>
    </row>
    <row r="12" spans="2:7" ht="30" customHeight="1" x14ac:dyDescent="0.2">
      <c r="B12" s="63" t="s">
        <v>133</v>
      </c>
      <c r="C12" s="63"/>
      <c r="D12" s="36">
        <f>D9-D10</f>
        <v>0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134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62" t="s">
        <v>128</v>
      </c>
      <c r="C16" s="62"/>
      <c r="D16" s="28">
        <f>D49</f>
        <v>0</v>
      </c>
      <c r="E16" s="18"/>
    </row>
    <row r="17" spans="2:5" x14ac:dyDescent="0.2">
      <c r="B17" s="62" t="s">
        <v>135</v>
      </c>
      <c r="C17" s="62"/>
      <c r="D17" s="28">
        <f>D71</f>
        <v>0</v>
      </c>
      <c r="E17" s="18"/>
    </row>
    <row r="18" spans="2:5" x14ac:dyDescent="0.2">
      <c r="B18" s="48"/>
      <c r="C18" s="48"/>
      <c r="D18" s="28"/>
      <c r="E18" s="18"/>
    </row>
    <row r="19" spans="2:5" ht="30" customHeight="1" x14ac:dyDescent="0.2">
      <c r="B19" s="63" t="s">
        <v>136</v>
      </c>
      <c r="C19" s="63"/>
      <c r="D19" s="36">
        <f>D16-D17</f>
        <v>0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64" t="s">
        <v>137</v>
      </c>
      <c r="C21" s="64"/>
      <c r="D21" s="64"/>
      <c r="E21" s="64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60">
        <f>D17</f>
        <v>0</v>
      </c>
      <c r="C23" s="65"/>
      <c r="D23" s="61"/>
      <c r="E23" s="38" t="str">
        <f>IFERROR(D17/D16,"")</f>
        <v/>
      </c>
    </row>
    <row r="24" spans="2:5" ht="18" x14ac:dyDescent="0.2">
      <c r="B24" s="29"/>
      <c r="D24" s="30"/>
      <c r="E24" s="18"/>
    </row>
    <row r="25" spans="2:5" x14ac:dyDescent="0.2">
      <c r="B25" s="64" t="s">
        <v>138</v>
      </c>
      <c r="C25" s="64"/>
      <c r="D25" s="64"/>
      <c r="E25" s="64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B73</f>
        <v>Jedzenie</v>
      </c>
      <c r="C27" s="60">
        <f>D73</f>
        <v>0</v>
      </c>
      <c r="D27" s="72"/>
      <c r="E27" s="38" t="str">
        <f>IFERROR(D73/C73,"")</f>
        <v/>
      </c>
    </row>
    <row r="28" spans="2:5" ht="18" customHeight="1" x14ac:dyDescent="0.2">
      <c r="B28" s="29" t="str">
        <f>B85</f>
        <v>Mieszkanie / dom</v>
      </c>
      <c r="C28" s="60">
        <f>D85</f>
        <v>0</v>
      </c>
      <c r="D28" s="61"/>
      <c r="E28" s="38" t="str">
        <f>IFERROR(D85/C85,"")</f>
        <v/>
      </c>
    </row>
    <row r="29" spans="2:5" ht="18" customHeight="1" x14ac:dyDescent="0.2">
      <c r="B29" s="29" t="str">
        <f>B97</f>
        <v>Transport</v>
      </c>
      <c r="C29" s="60">
        <f>D97</f>
        <v>0</v>
      </c>
      <c r="D29" s="61"/>
      <c r="E29" s="38" t="str">
        <f>IFERROR(D97/C97,"")</f>
        <v/>
      </c>
    </row>
    <row r="30" spans="2:5" ht="18" customHeight="1" x14ac:dyDescent="0.2">
      <c r="B30" s="29" t="str">
        <f>B109</f>
        <v>Telekomunikacja</v>
      </c>
      <c r="C30" s="60">
        <f>D109</f>
        <v>0</v>
      </c>
      <c r="D30" s="61"/>
      <c r="E30" s="38" t="str">
        <f>IFERROR(D109/C109,"")</f>
        <v/>
      </c>
    </row>
    <row r="31" spans="2:5" ht="18" customHeight="1" x14ac:dyDescent="0.2">
      <c r="B31" s="29" t="str">
        <f>B121</f>
        <v>Opieka zdrowotna</v>
      </c>
      <c r="C31" s="60">
        <f>D121</f>
        <v>0</v>
      </c>
      <c r="D31" s="61"/>
      <c r="E31" s="38" t="str">
        <f>IFERROR(D121/C121,"")</f>
        <v/>
      </c>
    </row>
    <row r="32" spans="2:5" ht="18" customHeight="1" x14ac:dyDescent="0.2">
      <c r="B32" s="29" t="str">
        <f>B133</f>
        <v>Ubranie</v>
      </c>
      <c r="C32" s="60">
        <f>D133</f>
        <v>0</v>
      </c>
      <c r="D32" s="61"/>
      <c r="E32" s="38" t="str">
        <f>IFERROR(D133/C133,"")</f>
        <v/>
      </c>
    </row>
    <row r="33" spans="2:9" ht="18" customHeight="1" x14ac:dyDescent="0.2">
      <c r="B33" s="29" t="str">
        <f>B145</f>
        <v>Higiena</v>
      </c>
      <c r="C33" s="60">
        <f>D145</f>
        <v>0</v>
      </c>
      <c r="D33" s="61"/>
      <c r="E33" s="38" t="str">
        <f>IFERROR(D145/C145,"")</f>
        <v/>
      </c>
    </row>
    <row r="34" spans="2:9" ht="18" customHeight="1" x14ac:dyDescent="0.2">
      <c r="B34" s="29" t="str">
        <f>B157</f>
        <v>Dzieci</v>
      </c>
      <c r="C34" s="60">
        <f>D157</f>
        <v>0</v>
      </c>
      <c r="D34" s="61"/>
      <c r="E34" s="38" t="str">
        <f>IFERROR(D157/C157,"")</f>
        <v/>
      </c>
    </row>
    <row r="35" spans="2:9" ht="18" customHeight="1" x14ac:dyDescent="0.2">
      <c r="B35" s="29" t="str">
        <f>B169</f>
        <v>Rozrywka</v>
      </c>
      <c r="C35" s="60">
        <f>D169</f>
        <v>0</v>
      </c>
      <c r="D35" s="61"/>
      <c r="E35" s="38" t="str">
        <f>IFERROR(D169/C169,"")</f>
        <v/>
      </c>
    </row>
    <row r="36" spans="2:9" ht="18" customHeight="1" x14ac:dyDescent="0.2">
      <c r="B36" s="29" t="str">
        <f>B181</f>
        <v>Inne wydatki</v>
      </c>
      <c r="C36" s="60">
        <f>D181</f>
        <v>0</v>
      </c>
      <c r="D36" s="61"/>
      <c r="E36" s="38" t="str">
        <f>IFERROR(D181/C181,"")</f>
        <v/>
      </c>
    </row>
    <row r="37" spans="2:9" ht="18" customHeight="1" x14ac:dyDescent="0.2">
      <c r="B37" s="29" t="str">
        <f>B193</f>
        <v>Spłata długów</v>
      </c>
      <c r="C37" s="60">
        <f>D193</f>
        <v>0</v>
      </c>
      <c r="D37" s="61"/>
      <c r="E37" s="38" t="str">
        <f>IFERROR(D193/C193,"")</f>
        <v/>
      </c>
    </row>
    <row r="38" spans="2:9" ht="18" customHeight="1" x14ac:dyDescent="0.2">
      <c r="B38" s="29" t="str">
        <f>B205</f>
        <v>Budowanie oszczędności</v>
      </c>
      <c r="C38" s="60">
        <f>D205</f>
        <v>0</v>
      </c>
      <c r="D38" s="61"/>
      <c r="E38" s="38" t="str">
        <f>IFERROR(D205/C205,"")</f>
        <v/>
      </c>
    </row>
    <row r="39" spans="2:9" ht="18" customHeight="1" x14ac:dyDescent="0.2">
      <c r="B39" s="29" t="str">
        <f>B217</f>
        <v>INNE 1</v>
      </c>
      <c r="C39" s="60">
        <f>D217</f>
        <v>0</v>
      </c>
      <c r="D39" s="61"/>
      <c r="E39" s="38" t="str">
        <f>IFERROR(D217/C217,"")</f>
        <v/>
      </c>
    </row>
    <row r="40" spans="2:9" ht="18" customHeight="1" x14ac:dyDescent="0.2">
      <c r="B40" s="29" t="str">
        <f>B229</f>
        <v>INNE 2</v>
      </c>
      <c r="C40" s="60">
        <f>D229</f>
        <v>0</v>
      </c>
      <c r="D40" s="72"/>
      <c r="E40" s="38" t="str">
        <f>IFERROR(D229/C229,"")</f>
        <v/>
      </c>
    </row>
    <row r="41" spans="2:9" ht="18" customHeight="1" x14ac:dyDescent="0.2">
      <c r="B41" s="29" t="str">
        <f>B241</f>
        <v>INNE 3</v>
      </c>
      <c r="C41" s="60">
        <f>D241</f>
        <v>0</v>
      </c>
      <c r="D41" s="72"/>
      <c r="E41" s="38" t="str">
        <f>IFERROR(D241/C241,"")</f>
        <v/>
      </c>
    </row>
    <row r="42" spans="2:9" ht="18" x14ac:dyDescent="0.2">
      <c r="B42" s="29"/>
      <c r="D42" s="30"/>
      <c r="E42" s="18"/>
    </row>
    <row r="43" spans="2:9" x14ac:dyDescent="0.2">
      <c r="B43" s="18"/>
      <c r="C43" s="18"/>
      <c r="D43" s="18"/>
      <c r="E43" s="18"/>
    </row>
    <row r="44" spans="2:9" ht="22" thickBot="1" x14ac:dyDescent="0.3">
      <c r="B44" s="32" t="s">
        <v>42</v>
      </c>
      <c r="C44" s="33"/>
      <c r="D44" s="33"/>
      <c r="E44" s="33"/>
      <c r="F44" s="33"/>
      <c r="G44" s="33"/>
    </row>
    <row r="46" spans="2:9" ht="21" x14ac:dyDescent="0.25">
      <c r="B46" s="44" t="s">
        <v>26</v>
      </c>
      <c r="I46" s="7" t="s">
        <v>43</v>
      </c>
    </row>
    <row r="47" spans="2:9" x14ac:dyDescent="0.2">
      <c r="B47" s="1"/>
    </row>
    <row r="48" spans="2:9" ht="30" x14ac:dyDescent="0.2">
      <c r="B48" s="8" t="s">
        <v>0</v>
      </c>
      <c r="C48" s="9" t="s">
        <v>127</v>
      </c>
      <c r="D48" s="10" t="s">
        <v>128</v>
      </c>
      <c r="E48" s="8" t="s">
        <v>129</v>
      </c>
      <c r="F48" s="9" t="s">
        <v>140</v>
      </c>
      <c r="G48" s="8" t="s">
        <v>41</v>
      </c>
      <c r="I48" s="41" t="s">
        <v>159</v>
      </c>
    </row>
    <row r="49" spans="2:39" ht="26" customHeight="1" x14ac:dyDescent="0.2">
      <c r="B49" s="39" t="s">
        <v>139</v>
      </c>
      <c r="C49" s="40">
        <f>C51</f>
        <v>0</v>
      </c>
      <c r="D49" s="40">
        <f>D51</f>
        <v>0</v>
      </c>
      <c r="E49" s="40">
        <f>D49-C49</f>
        <v>0</v>
      </c>
      <c r="F49" s="8" t="s">
        <v>141</v>
      </c>
      <c r="G49" s="8"/>
      <c r="I49" s="43">
        <f>SUM(I52:I67)</f>
        <v>0</v>
      </c>
      <c r="J49" s="43">
        <f>SUM(J52:J67)</f>
        <v>0</v>
      </c>
      <c r="K49" s="43">
        <f t="shared" ref="K49:AM49" si="0">SUM(K52:K67)</f>
        <v>0</v>
      </c>
      <c r="L49" s="43">
        <f t="shared" si="0"/>
        <v>0</v>
      </c>
      <c r="M49" s="43">
        <f t="shared" si="0"/>
        <v>0</v>
      </c>
      <c r="N49" s="43">
        <f t="shared" si="0"/>
        <v>0</v>
      </c>
      <c r="O49" s="43">
        <f t="shared" si="0"/>
        <v>0</v>
      </c>
      <c r="P49" s="43">
        <f t="shared" si="0"/>
        <v>0</v>
      </c>
      <c r="Q49" s="43">
        <f t="shared" si="0"/>
        <v>0</v>
      </c>
      <c r="R49" s="43">
        <f t="shared" si="0"/>
        <v>0</v>
      </c>
      <c r="S49" s="43">
        <f t="shared" si="0"/>
        <v>0</v>
      </c>
      <c r="T49" s="43">
        <f t="shared" si="0"/>
        <v>0</v>
      </c>
      <c r="U49" s="43">
        <f t="shared" si="0"/>
        <v>0</v>
      </c>
      <c r="V49" s="43">
        <f t="shared" si="0"/>
        <v>0</v>
      </c>
      <c r="W49" s="43">
        <f t="shared" si="0"/>
        <v>0</v>
      </c>
      <c r="X49" s="43">
        <f t="shared" si="0"/>
        <v>0</v>
      </c>
      <c r="Y49" s="43">
        <f t="shared" si="0"/>
        <v>0</v>
      </c>
      <c r="Z49" s="43">
        <f t="shared" si="0"/>
        <v>0</v>
      </c>
      <c r="AA49" s="43">
        <f t="shared" si="0"/>
        <v>0</v>
      </c>
      <c r="AB49" s="43">
        <f t="shared" si="0"/>
        <v>0</v>
      </c>
      <c r="AC49" s="43">
        <f t="shared" si="0"/>
        <v>0</v>
      </c>
      <c r="AD49" s="43">
        <f t="shared" si="0"/>
        <v>0</v>
      </c>
      <c r="AE49" s="43">
        <f t="shared" si="0"/>
        <v>0</v>
      </c>
      <c r="AF49" s="43">
        <f t="shared" si="0"/>
        <v>0</v>
      </c>
      <c r="AG49" s="43">
        <f t="shared" si="0"/>
        <v>0</v>
      </c>
      <c r="AH49" s="43">
        <f t="shared" si="0"/>
        <v>0</v>
      </c>
      <c r="AI49" s="43">
        <f t="shared" si="0"/>
        <v>0</v>
      </c>
      <c r="AJ49" s="43">
        <f t="shared" si="0"/>
        <v>0</v>
      </c>
      <c r="AK49" s="43">
        <f t="shared" si="0"/>
        <v>0</v>
      </c>
      <c r="AL49" s="43">
        <f t="shared" si="0"/>
        <v>0</v>
      </c>
      <c r="AM49" s="43">
        <f t="shared" si="0"/>
        <v>0</v>
      </c>
    </row>
    <row r="50" spans="2:39" x14ac:dyDescent="0.2">
      <c r="B50" s="1"/>
    </row>
    <row r="51" spans="2:39" x14ac:dyDescent="0.2">
      <c r="B51" s="14" t="str">
        <f>'Wzorzec kategorii'!B14</f>
        <v>Całkowite przychody</v>
      </c>
      <c r="C51" s="15">
        <f>SUM(Tabela718227[[#All],[Kolumna2]])</f>
        <v>0</v>
      </c>
      <c r="D51" s="16">
        <f>SUM(Tabela718227[[#All],[Kolumna3]])</f>
        <v>0</v>
      </c>
      <c r="E51" s="15">
        <f>D51-C51</f>
        <v>0</v>
      </c>
      <c r="F51" s="17" t="str">
        <f>IFERROR(D51/C51,"")</f>
        <v/>
      </c>
      <c r="G51" s="15"/>
      <c r="I51" s="11" t="s">
        <v>44</v>
      </c>
      <c r="J51" s="11" t="s">
        <v>45</v>
      </c>
      <c r="K51" s="11" t="s">
        <v>46</v>
      </c>
      <c r="L51" s="11" t="s">
        <v>47</v>
      </c>
      <c r="M51" s="11" t="s">
        <v>48</v>
      </c>
      <c r="N51" s="11" t="s">
        <v>49</v>
      </c>
      <c r="O51" s="11" t="s">
        <v>50</v>
      </c>
      <c r="P51" s="11" t="s">
        <v>51</v>
      </c>
      <c r="Q51" s="11" t="s">
        <v>52</v>
      </c>
      <c r="R51" s="11" t="s">
        <v>53</v>
      </c>
      <c r="S51" s="11" t="s">
        <v>54</v>
      </c>
      <c r="T51" s="11" t="s">
        <v>55</v>
      </c>
      <c r="U51" s="11" t="s">
        <v>56</v>
      </c>
      <c r="V51" s="11" t="s">
        <v>57</v>
      </c>
      <c r="W51" s="11" t="s">
        <v>58</v>
      </c>
      <c r="X51" s="11" t="s">
        <v>59</v>
      </c>
      <c r="Y51" s="11" t="s">
        <v>60</v>
      </c>
      <c r="Z51" s="11" t="s">
        <v>61</v>
      </c>
      <c r="AA51" s="11" t="s">
        <v>62</v>
      </c>
      <c r="AB51" s="11" t="s">
        <v>63</v>
      </c>
      <c r="AC51" s="11" t="s">
        <v>64</v>
      </c>
      <c r="AD51" s="11" t="s">
        <v>65</v>
      </c>
      <c r="AE51" s="11" t="s">
        <v>66</v>
      </c>
      <c r="AF51" s="11" t="s">
        <v>67</v>
      </c>
      <c r="AG51" s="11" t="s">
        <v>68</v>
      </c>
      <c r="AH51" s="11" t="s">
        <v>69</v>
      </c>
      <c r="AI51" s="11" t="s">
        <v>70</v>
      </c>
      <c r="AJ51" s="11" t="s">
        <v>71</v>
      </c>
      <c r="AK51" s="11" t="s">
        <v>72</v>
      </c>
      <c r="AL51" s="11" t="s">
        <v>73</v>
      </c>
      <c r="AM51" s="11" t="s">
        <v>74</v>
      </c>
    </row>
    <row r="52" spans="2:39" x14ac:dyDescent="0.2">
      <c r="B52" s="22" t="str">
        <f>'Wzorzec kategorii'!B15</f>
        <v>Wynagrodzenie</v>
      </c>
      <c r="C52" s="19">
        <v>0</v>
      </c>
      <c r="D52" s="47">
        <f>SUM(Tabela33064256[#This Row])</f>
        <v>0</v>
      </c>
      <c r="E52" s="20">
        <f>Tabela718227[[#This Row],[Kolumna3]]-Tabela718227[[#This Row],[Kolumna2]]</f>
        <v>0</v>
      </c>
      <c r="F52" s="21" t="str">
        <f t="shared" ref="F52:F66" si="1">IFERROR(D52/C52,"")</f>
        <v/>
      </c>
      <c r="G52" s="2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ht="30" x14ac:dyDescent="0.2">
      <c r="B53" s="22" t="str">
        <f>'Wzorzec kategorii'!B16</f>
        <v>Wynagrodzenie Partnera / Partnerki</v>
      </c>
      <c r="C53" s="19">
        <v>0</v>
      </c>
      <c r="D53" s="47">
        <f>SUM(Tabela33064256[#This Row])</f>
        <v>0</v>
      </c>
      <c r="E53" s="20">
        <f>Tabela718227[[#This Row],[Kolumna3]]-Tabela718227[[#This Row],[Kolumna2]]</f>
        <v>0</v>
      </c>
      <c r="F53" s="21" t="str">
        <f t="shared" si="1"/>
        <v/>
      </c>
      <c r="G53" s="2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x14ac:dyDescent="0.2">
      <c r="B54" s="22" t="str">
        <f>'Wzorzec kategorii'!B17</f>
        <v>Premia</v>
      </c>
      <c r="C54" s="19">
        <v>0</v>
      </c>
      <c r="D54" s="47">
        <f>SUM(Tabela33064256[#This Row])</f>
        <v>0</v>
      </c>
      <c r="E54" s="20">
        <f>Tabela718227[[#This Row],[Kolumna3]]-Tabela718227[[#This Row],[Kolumna2]]</f>
        <v>0</v>
      </c>
      <c r="F54" s="21" t="str">
        <f t="shared" si="1"/>
        <v/>
      </c>
      <c r="G54" s="2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x14ac:dyDescent="0.2">
      <c r="B55" s="22" t="str">
        <f>'Wzorzec kategorii'!B18</f>
        <v>Przychody z premii bankowych</v>
      </c>
      <c r="C55" s="19">
        <v>0</v>
      </c>
      <c r="D55" s="47">
        <f>SUM(Tabela33064256[#This Row])</f>
        <v>0</v>
      </c>
      <c r="E55" s="20">
        <f>Tabela718227[[#This Row],[Kolumna3]]-Tabela718227[[#This Row],[Kolumna2]]</f>
        <v>0</v>
      </c>
      <c r="F55" s="21" t="str">
        <f t="shared" si="1"/>
        <v/>
      </c>
      <c r="G55" s="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x14ac:dyDescent="0.2">
      <c r="B56" s="22" t="str">
        <f>'Wzorzec kategorii'!B19</f>
        <v>Odsetki bankowe</v>
      </c>
      <c r="C56" s="19">
        <v>0</v>
      </c>
      <c r="D56" s="47">
        <f>SUM(Tabela33064256[#This Row])</f>
        <v>0</v>
      </c>
      <c r="E56" s="20">
        <f>Tabela718227[[#This Row],[Kolumna3]]-Tabela718227[[#This Row],[Kolumna2]]</f>
        <v>0</v>
      </c>
      <c r="F56" s="21" t="str">
        <f t="shared" si="1"/>
        <v/>
      </c>
      <c r="G56" s="2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2:39" x14ac:dyDescent="0.2">
      <c r="B57" s="22" t="str">
        <f>'Wzorzec kategorii'!B20</f>
        <v>Sprzedaż na Allegro itp.</v>
      </c>
      <c r="C57" s="19">
        <v>0</v>
      </c>
      <c r="D57" s="47">
        <f>SUM(Tabela33064256[#This Row])</f>
        <v>0</v>
      </c>
      <c r="E57" s="20">
        <f>Tabela718227[[#This Row],[Kolumna3]]-Tabela718227[[#This Row],[Kolumna2]]</f>
        <v>0</v>
      </c>
      <c r="F57" s="21" t="str">
        <f t="shared" si="1"/>
        <v/>
      </c>
      <c r="G57" s="2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9" x14ac:dyDescent="0.2">
      <c r="B58" s="22" t="str">
        <f>'Wzorzec kategorii'!B21</f>
        <v>Inne przychody</v>
      </c>
      <c r="C58" s="19">
        <v>0</v>
      </c>
      <c r="D58" s="47">
        <f>SUM(Tabela33064256[#This Row])</f>
        <v>0</v>
      </c>
      <c r="E58" s="20">
        <f>Tabela718227[[#This Row],[Kolumna3]]-Tabela718227[[#This Row],[Kolumna2]]</f>
        <v>0</v>
      </c>
      <c r="F58" s="21" t="str">
        <f t="shared" si="1"/>
        <v/>
      </c>
      <c r="G58" s="2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2:39" x14ac:dyDescent="0.2">
      <c r="B59" s="22" t="str">
        <f>'Wzorzec kategorii'!B22</f>
        <v>.</v>
      </c>
      <c r="C59" s="19">
        <v>0</v>
      </c>
      <c r="D59" s="47">
        <f>SUM(Tabela33064256[#This Row])</f>
        <v>0</v>
      </c>
      <c r="E59" s="20">
        <f>Tabela718227[[#This Row],[Kolumna3]]-Tabela718227[[#This Row],[Kolumna2]]</f>
        <v>0</v>
      </c>
      <c r="F59" s="53" t="str">
        <f t="shared" si="1"/>
        <v/>
      </c>
      <c r="G59" s="2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2:39" x14ac:dyDescent="0.2">
      <c r="B60" s="22" t="str">
        <f>'Wzorzec kategorii'!B23</f>
        <v>.</v>
      </c>
      <c r="C60" s="19">
        <v>0</v>
      </c>
      <c r="D60" s="47">
        <f>SUM(Tabela33064256[#This Row])</f>
        <v>0</v>
      </c>
      <c r="E60" s="20">
        <f>Tabela718227[[#This Row],[Kolumna3]]-Tabela718227[[#This Row],[Kolumna2]]</f>
        <v>0</v>
      </c>
      <c r="F60" s="53" t="str">
        <f t="shared" si="1"/>
        <v/>
      </c>
      <c r="G60" s="2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2:39" x14ac:dyDescent="0.2">
      <c r="B61" s="22" t="str">
        <f>'Wzorzec kategorii'!B24</f>
        <v>.</v>
      </c>
      <c r="C61" s="19">
        <v>0</v>
      </c>
      <c r="D61" s="47">
        <f>SUM(Tabela33064256[#This Row])</f>
        <v>0</v>
      </c>
      <c r="E61" s="20">
        <f>Tabela718227[[#This Row],[Kolumna3]]-Tabela718227[[#This Row],[Kolumna2]]</f>
        <v>0</v>
      </c>
      <c r="F61" s="53" t="str">
        <f t="shared" si="1"/>
        <v/>
      </c>
      <c r="G61" s="2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2:39" x14ac:dyDescent="0.2">
      <c r="B62" s="22" t="str">
        <f>'Wzorzec kategorii'!B25</f>
        <v>.</v>
      </c>
      <c r="C62" s="19">
        <v>0</v>
      </c>
      <c r="D62" s="47">
        <f>SUM(Tabela33064256[#This Row])</f>
        <v>0</v>
      </c>
      <c r="E62" s="20">
        <f>Tabela718227[[#This Row],[Kolumna3]]-Tabela718227[[#This Row],[Kolumna2]]</f>
        <v>0</v>
      </c>
      <c r="F62" s="53" t="str">
        <f t="shared" si="1"/>
        <v/>
      </c>
      <c r="G62" s="2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:39" x14ac:dyDescent="0.2">
      <c r="B63" s="22" t="str">
        <f>'Wzorzec kategorii'!B26</f>
        <v>.</v>
      </c>
      <c r="C63" s="19">
        <v>0</v>
      </c>
      <c r="D63" s="47">
        <f>SUM(Tabela33064256[#This Row])</f>
        <v>0</v>
      </c>
      <c r="E63" s="20">
        <f>Tabela718227[[#This Row],[Kolumna3]]-Tabela718227[[#This Row],[Kolumna2]]</f>
        <v>0</v>
      </c>
      <c r="F63" s="53" t="str">
        <f t="shared" si="1"/>
        <v/>
      </c>
      <c r="G63" s="2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x14ac:dyDescent="0.2">
      <c r="B64" s="22" t="str">
        <f>'Wzorzec kategorii'!B27</f>
        <v>.</v>
      </c>
      <c r="C64" s="19">
        <v>0</v>
      </c>
      <c r="D64" s="47">
        <f>SUM(Tabela33064256[#This Row])</f>
        <v>0</v>
      </c>
      <c r="E64" s="20">
        <f>Tabela718227[[#This Row],[Kolumna3]]-Tabela718227[[#This Row],[Kolumna2]]</f>
        <v>0</v>
      </c>
      <c r="F64" s="53" t="str">
        <f t="shared" si="1"/>
        <v/>
      </c>
      <c r="G64" s="2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:39" x14ac:dyDescent="0.2">
      <c r="B65" s="22" t="str">
        <f>'Wzorzec kategorii'!B28</f>
        <v>.</v>
      </c>
      <c r="C65" s="19">
        <v>0</v>
      </c>
      <c r="D65" s="47">
        <f>SUM(Tabela33064256[#This Row])</f>
        <v>0</v>
      </c>
      <c r="E65" s="20">
        <f>Tabela718227[[#This Row],[Kolumna3]]-Tabela718227[[#This Row],[Kolumna2]]</f>
        <v>0</v>
      </c>
      <c r="F65" s="53" t="str">
        <f t="shared" si="1"/>
        <v/>
      </c>
      <c r="G65" s="2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39" x14ac:dyDescent="0.2">
      <c r="B66" s="22" t="str">
        <f>'Wzorzec kategorii'!B29</f>
        <v>.</v>
      </c>
      <c r="C66" s="19">
        <v>0</v>
      </c>
      <c r="D66" s="47">
        <f>SUM(Tabela33064256[#This Row])</f>
        <v>0</v>
      </c>
      <c r="E66" s="20">
        <f>Tabela718227[[#This Row],[Kolumna3]]-Tabela718227[[#This Row],[Kolumna2]]</f>
        <v>0</v>
      </c>
      <c r="F66" s="53" t="str">
        <f t="shared" si="1"/>
        <v/>
      </c>
      <c r="G66" s="2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:39" x14ac:dyDescent="0.2">
      <c r="B67" s="5" t="s">
        <v>30</v>
      </c>
    </row>
    <row r="68" spans="2:39" ht="21" x14ac:dyDescent="0.25">
      <c r="B68" s="44" t="s">
        <v>25</v>
      </c>
      <c r="I68" s="7" t="s">
        <v>43</v>
      </c>
    </row>
    <row r="70" spans="2:39" ht="30" x14ac:dyDescent="0.2">
      <c r="B70" s="8" t="s">
        <v>0</v>
      </c>
      <c r="C70" s="9" t="s">
        <v>131</v>
      </c>
      <c r="D70" s="10" t="s">
        <v>135</v>
      </c>
      <c r="E70" s="8" t="s">
        <v>129</v>
      </c>
      <c r="F70" s="9" t="s">
        <v>140</v>
      </c>
      <c r="G70" s="8" t="s">
        <v>41</v>
      </c>
      <c r="I70" s="41" t="s">
        <v>142</v>
      </c>
    </row>
    <row r="71" spans="2:39" ht="24" customHeight="1" x14ac:dyDescent="0.2">
      <c r="B71" s="39" t="s">
        <v>139</v>
      </c>
      <c r="C71" s="40">
        <f>C73+C85+C97+C109+C121+C133+C145+C157+C169+C181+C193+C205+C217+C229+C241</f>
        <v>0</v>
      </c>
      <c r="D71" s="40">
        <f>D73+D85+D97+D109+D121+D133+D145+D157+D169+D181+D193+D205+D217+D229+D241</f>
        <v>0</v>
      </c>
      <c r="E71" s="40">
        <f>C71-D71</f>
        <v>0</v>
      </c>
      <c r="F71" s="8" t="s">
        <v>141</v>
      </c>
      <c r="G71" s="8"/>
      <c r="I71" s="43">
        <f>SUM(I73:I251)</f>
        <v>0</v>
      </c>
      <c r="J71" s="43">
        <f>SUM(J73:J251)</f>
        <v>0</v>
      </c>
      <c r="K71" s="43">
        <f t="shared" ref="K71:AM71" si="2">SUM(K73:K251)</f>
        <v>0</v>
      </c>
      <c r="L71" s="43">
        <f t="shared" si="2"/>
        <v>0</v>
      </c>
      <c r="M71" s="43">
        <f t="shared" si="2"/>
        <v>0</v>
      </c>
      <c r="N71" s="43">
        <f t="shared" si="2"/>
        <v>0</v>
      </c>
      <c r="O71" s="43">
        <f t="shared" si="2"/>
        <v>0</v>
      </c>
      <c r="P71" s="43">
        <f t="shared" si="2"/>
        <v>0</v>
      </c>
      <c r="Q71" s="43">
        <f t="shared" si="2"/>
        <v>0</v>
      </c>
      <c r="R71" s="43">
        <f t="shared" si="2"/>
        <v>0</v>
      </c>
      <c r="S71" s="43">
        <f t="shared" si="2"/>
        <v>0</v>
      </c>
      <c r="T71" s="43">
        <f t="shared" si="2"/>
        <v>0</v>
      </c>
      <c r="U71" s="43">
        <f t="shared" si="2"/>
        <v>0</v>
      </c>
      <c r="V71" s="43">
        <f t="shared" si="2"/>
        <v>0</v>
      </c>
      <c r="W71" s="43">
        <f t="shared" si="2"/>
        <v>0</v>
      </c>
      <c r="X71" s="43">
        <f t="shared" si="2"/>
        <v>0</v>
      </c>
      <c r="Y71" s="43">
        <f t="shared" si="2"/>
        <v>0</v>
      </c>
      <c r="Z71" s="43">
        <f t="shared" si="2"/>
        <v>0</v>
      </c>
      <c r="AA71" s="43">
        <f t="shared" si="2"/>
        <v>0</v>
      </c>
      <c r="AB71" s="43">
        <f t="shared" si="2"/>
        <v>0</v>
      </c>
      <c r="AC71" s="43">
        <f t="shared" si="2"/>
        <v>0</v>
      </c>
      <c r="AD71" s="43">
        <f t="shared" si="2"/>
        <v>0</v>
      </c>
      <c r="AE71" s="43">
        <f t="shared" si="2"/>
        <v>0</v>
      </c>
      <c r="AF71" s="43">
        <f t="shared" si="2"/>
        <v>0</v>
      </c>
      <c r="AG71" s="43">
        <f t="shared" si="2"/>
        <v>0</v>
      </c>
      <c r="AH71" s="43">
        <f t="shared" si="2"/>
        <v>0</v>
      </c>
      <c r="AI71" s="43">
        <f t="shared" si="2"/>
        <v>0</v>
      </c>
      <c r="AJ71" s="43">
        <f t="shared" si="2"/>
        <v>0</v>
      </c>
      <c r="AK71" s="43">
        <f t="shared" si="2"/>
        <v>0</v>
      </c>
      <c r="AL71" s="43">
        <f t="shared" si="2"/>
        <v>0</v>
      </c>
      <c r="AM71" s="43">
        <f t="shared" si="2"/>
        <v>0</v>
      </c>
    </row>
    <row r="73" spans="2:39" x14ac:dyDescent="0.2">
      <c r="B73" s="14" t="str">
        <f>'Wzorzec kategorii'!B35</f>
        <v>Jedzenie</v>
      </c>
      <c r="C73" s="15">
        <f>SUM(Jedzenie2225[[#All],[0]])</f>
        <v>0</v>
      </c>
      <c r="D73" s="16">
        <f>SUM(Jedzenie2225[[#All],[02]])</f>
        <v>0</v>
      </c>
      <c r="E73" s="15">
        <f t="shared" ref="E73:E83" si="3">C73-D73</f>
        <v>0</v>
      </c>
      <c r="F73" s="17" t="str">
        <f t="shared" ref="F73:F83" si="4">IFERROR(D73/C73,"")</f>
        <v/>
      </c>
      <c r="G73" s="23"/>
      <c r="I73" s="11" t="s">
        <v>44</v>
      </c>
      <c r="J73" s="11" t="s">
        <v>45</v>
      </c>
      <c r="K73" s="11" t="s">
        <v>46</v>
      </c>
      <c r="L73" s="11" t="s">
        <v>47</v>
      </c>
      <c r="M73" s="11" t="s">
        <v>48</v>
      </c>
      <c r="N73" s="11" t="s">
        <v>49</v>
      </c>
      <c r="O73" s="11" t="s">
        <v>50</v>
      </c>
      <c r="P73" s="11" t="s">
        <v>51</v>
      </c>
      <c r="Q73" s="11" t="s">
        <v>52</v>
      </c>
      <c r="R73" s="11" t="s">
        <v>53</v>
      </c>
      <c r="S73" s="11" t="s">
        <v>54</v>
      </c>
      <c r="T73" s="11" t="s">
        <v>55</v>
      </c>
      <c r="U73" s="11" t="s">
        <v>56</v>
      </c>
      <c r="V73" s="11" t="s">
        <v>57</v>
      </c>
      <c r="W73" s="11" t="s">
        <v>58</v>
      </c>
      <c r="X73" s="11" t="s">
        <v>59</v>
      </c>
      <c r="Y73" s="11" t="s">
        <v>60</v>
      </c>
      <c r="Z73" s="11" t="s">
        <v>61</v>
      </c>
      <c r="AA73" s="11" t="s">
        <v>62</v>
      </c>
      <c r="AB73" s="11" t="s">
        <v>63</v>
      </c>
      <c r="AC73" s="11" t="s">
        <v>64</v>
      </c>
      <c r="AD73" s="11" t="s">
        <v>65</v>
      </c>
      <c r="AE73" s="11" t="s">
        <v>66</v>
      </c>
      <c r="AF73" s="11" t="s">
        <v>67</v>
      </c>
      <c r="AG73" s="11" t="s">
        <v>68</v>
      </c>
      <c r="AH73" s="11" t="s">
        <v>69</v>
      </c>
      <c r="AI73" s="11" t="s">
        <v>70</v>
      </c>
      <c r="AJ73" s="11" t="s">
        <v>71</v>
      </c>
      <c r="AK73" s="11" t="s">
        <v>72</v>
      </c>
      <c r="AL73" s="11" t="s">
        <v>73</v>
      </c>
      <c r="AM73" s="11" t="s">
        <v>74</v>
      </c>
    </row>
    <row r="74" spans="2:39" x14ac:dyDescent="0.2">
      <c r="B74" s="22" t="str">
        <f>'Wzorzec kategorii'!B36</f>
        <v>Jedzenie dom</v>
      </c>
      <c r="C74" s="19">
        <v>0</v>
      </c>
      <c r="D74" s="20">
        <f>SUM(Tabela330228[#This Row])</f>
        <v>0</v>
      </c>
      <c r="E74" s="20">
        <f t="shared" si="3"/>
        <v>0</v>
      </c>
      <c r="F74" s="21" t="str">
        <f t="shared" si="4"/>
        <v/>
      </c>
      <c r="G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2:39" x14ac:dyDescent="0.2">
      <c r="B75" s="22" t="str">
        <f>'Wzorzec kategorii'!B37</f>
        <v>Jedzenie miasto</v>
      </c>
      <c r="C75" s="19">
        <v>0</v>
      </c>
      <c r="D75" s="20">
        <f>SUM(Tabela330228[#This Row])</f>
        <v>0</v>
      </c>
      <c r="E75" s="20">
        <f t="shared" si="3"/>
        <v>0</v>
      </c>
      <c r="F75" s="21" t="str">
        <f t="shared" si="4"/>
        <v/>
      </c>
      <c r="G75" s="2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:39" x14ac:dyDescent="0.2">
      <c r="B76" s="22" t="str">
        <f>'Wzorzec kategorii'!B38</f>
        <v>Jedzenie praca</v>
      </c>
      <c r="C76" s="19">
        <v>0</v>
      </c>
      <c r="D76" s="20">
        <f>SUM(Tabela330228[#This Row])</f>
        <v>0</v>
      </c>
      <c r="E76" s="20">
        <f t="shared" si="3"/>
        <v>0</v>
      </c>
      <c r="F76" s="21" t="str">
        <f t="shared" si="4"/>
        <v/>
      </c>
      <c r="G76" s="2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2:39" x14ac:dyDescent="0.2">
      <c r="B77" s="22" t="str">
        <f>'Wzorzec kategorii'!B39</f>
        <v>Alkohol</v>
      </c>
      <c r="C77" s="19">
        <v>0</v>
      </c>
      <c r="D77" s="20">
        <f>SUM(Tabela330228[#This Row])</f>
        <v>0</v>
      </c>
      <c r="E77" s="20">
        <f t="shared" si="3"/>
        <v>0</v>
      </c>
      <c r="F77" s="21" t="str">
        <f t="shared" si="4"/>
        <v/>
      </c>
      <c r="G77" s="2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2:39" x14ac:dyDescent="0.2">
      <c r="B78" s="22" t="str">
        <f>'Wzorzec kategorii'!B40</f>
        <v>Inne</v>
      </c>
      <c r="C78" s="19">
        <v>0</v>
      </c>
      <c r="D78" s="20">
        <f>SUM(Tabela330228[#This Row])</f>
        <v>0</v>
      </c>
      <c r="E78" s="20">
        <f t="shared" si="3"/>
        <v>0</v>
      </c>
      <c r="F78" s="21" t="str">
        <f t="shared" si="4"/>
        <v/>
      </c>
      <c r="G78" s="2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:39" x14ac:dyDescent="0.2">
      <c r="B79" s="22" t="str">
        <f>'Wzorzec kategorii'!B41</f>
        <v>.</v>
      </c>
      <c r="C79" s="19">
        <v>0</v>
      </c>
      <c r="D79" s="20">
        <f>SUM(Tabela330228[#This Row])</f>
        <v>0</v>
      </c>
      <c r="E79" s="20">
        <f t="shared" si="3"/>
        <v>0</v>
      </c>
      <c r="F79" s="53" t="str">
        <f t="shared" si="4"/>
        <v/>
      </c>
      <c r="G79" s="5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:39" x14ac:dyDescent="0.2">
      <c r="B80" s="22" t="str">
        <f>'Wzorzec kategorii'!B42</f>
        <v>.</v>
      </c>
      <c r="C80" s="19">
        <v>0</v>
      </c>
      <c r="D80" s="20">
        <f>SUM(Tabela330228[#This Row])</f>
        <v>0</v>
      </c>
      <c r="E80" s="20">
        <f t="shared" si="3"/>
        <v>0</v>
      </c>
      <c r="F80" s="53" t="str">
        <f t="shared" si="4"/>
        <v/>
      </c>
      <c r="G80" s="5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2:41" x14ac:dyDescent="0.2">
      <c r="B81" s="22" t="str">
        <f>'Wzorzec kategorii'!B43</f>
        <v>.</v>
      </c>
      <c r="C81" s="19">
        <v>0</v>
      </c>
      <c r="D81" s="20">
        <f>SUM(Tabela330228[#This Row])</f>
        <v>0</v>
      </c>
      <c r="E81" s="20">
        <f t="shared" si="3"/>
        <v>0</v>
      </c>
      <c r="F81" s="53" t="str">
        <f t="shared" si="4"/>
        <v/>
      </c>
      <c r="G81" s="5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2:41" x14ac:dyDescent="0.2">
      <c r="B82" s="22" t="str">
        <f>'Wzorzec kategorii'!B44</f>
        <v>.</v>
      </c>
      <c r="C82" s="19">
        <v>0</v>
      </c>
      <c r="D82" s="20">
        <f>SUM(Tabela330228[#This Row])</f>
        <v>0</v>
      </c>
      <c r="E82" s="20">
        <f t="shared" si="3"/>
        <v>0</v>
      </c>
      <c r="F82" s="53" t="str">
        <f t="shared" si="4"/>
        <v/>
      </c>
      <c r="G82" s="5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2:41" x14ac:dyDescent="0.2">
      <c r="B83" s="22" t="str">
        <f>'Wzorzec kategorii'!B45</f>
        <v>.</v>
      </c>
      <c r="C83" s="19">
        <v>0</v>
      </c>
      <c r="D83" s="20">
        <f>SUM(Tabela330228[#This Row])</f>
        <v>0</v>
      </c>
      <c r="E83" s="20">
        <f t="shared" si="3"/>
        <v>0</v>
      </c>
      <c r="F83" s="53" t="str">
        <f t="shared" si="4"/>
        <v/>
      </c>
      <c r="G83" s="5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2:41" x14ac:dyDescent="0.2">
      <c r="B84" s="5" t="s">
        <v>30</v>
      </c>
      <c r="C84" s="6"/>
      <c r="D84" s="4"/>
      <c r="E84" s="4"/>
      <c r="F84" s="4"/>
      <c r="G84" s="4"/>
      <c r="I84" s="5" t="s">
        <v>30</v>
      </c>
    </row>
    <row r="85" spans="2:41" x14ac:dyDescent="0.2">
      <c r="B85" s="14" t="str">
        <f>'Wzorzec kategorii'!B47</f>
        <v>Mieszkanie / dom</v>
      </c>
      <c r="C85" s="15">
        <f>SUM(Tabela431229[[#All],[Kolumna2]])</f>
        <v>0</v>
      </c>
      <c r="D85" s="16">
        <f>SUM(Tabela431229[[#All],[Kolumna3]])</f>
        <v>0</v>
      </c>
      <c r="E85" s="15">
        <f>C85-D85</f>
        <v>0</v>
      </c>
      <c r="F85" s="17" t="str">
        <f>IFERROR(D85/C85,"")</f>
        <v/>
      </c>
      <c r="G85" s="23"/>
      <c r="I85" s="11" t="s">
        <v>44</v>
      </c>
      <c r="J85" s="11" t="s">
        <v>45</v>
      </c>
      <c r="K85" s="11" t="s">
        <v>46</v>
      </c>
      <c r="L85" s="11" t="s">
        <v>47</v>
      </c>
      <c r="M85" s="11" t="s">
        <v>48</v>
      </c>
      <c r="N85" s="11" t="s">
        <v>49</v>
      </c>
      <c r="O85" s="11" t="s">
        <v>50</v>
      </c>
      <c r="P85" s="11" t="s">
        <v>51</v>
      </c>
      <c r="Q85" s="11" t="s">
        <v>52</v>
      </c>
      <c r="R85" s="11" t="s">
        <v>53</v>
      </c>
      <c r="S85" s="11" t="s">
        <v>54</v>
      </c>
      <c r="T85" s="11" t="s">
        <v>55</v>
      </c>
      <c r="U85" s="11" t="s">
        <v>56</v>
      </c>
      <c r="V85" s="11" t="s">
        <v>57</v>
      </c>
      <c r="W85" s="11" t="s">
        <v>58</v>
      </c>
      <c r="X85" s="11" t="s">
        <v>59</v>
      </c>
      <c r="Y85" s="11" t="s">
        <v>60</v>
      </c>
      <c r="Z85" s="11" t="s">
        <v>61</v>
      </c>
      <c r="AA85" s="11" t="s">
        <v>62</v>
      </c>
      <c r="AB85" s="11" t="s">
        <v>63</v>
      </c>
      <c r="AC85" s="11" t="s">
        <v>64</v>
      </c>
      <c r="AD85" s="11" t="s">
        <v>65</v>
      </c>
      <c r="AE85" s="11" t="s">
        <v>66</v>
      </c>
      <c r="AF85" s="11" t="s">
        <v>67</v>
      </c>
      <c r="AG85" s="11" t="s">
        <v>68</v>
      </c>
      <c r="AH85" s="11" t="s">
        <v>69</v>
      </c>
      <c r="AI85" s="11" t="s">
        <v>70</v>
      </c>
      <c r="AJ85" s="11" t="s">
        <v>71</v>
      </c>
      <c r="AK85" s="11" t="s">
        <v>72</v>
      </c>
      <c r="AL85" s="11" t="s">
        <v>73</v>
      </c>
      <c r="AM85" s="11" t="s">
        <v>74</v>
      </c>
      <c r="AN85" s="25"/>
      <c r="AO85" s="25"/>
    </row>
    <row r="86" spans="2:41" x14ac:dyDescent="0.2">
      <c r="B86" s="22" t="str">
        <f>'Wzorzec kategorii'!B48</f>
        <v>Czynsz</v>
      </c>
      <c r="C86" s="19">
        <v>0</v>
      </c>
      <c r="D86" s="20">
        <f>SUM(Tabela1841239[#This Row])</f>
        <v>0</v>
      </c>
      <c r="E86" s="20">
        <f t="shared" ref="E86:E95" si="5">C86-D86</f>
        <v>0</v>
      </c>
      <c r="F86" s="21" t="str">
        <f t="shared" ref="F86:F95" si="6">IFERROR(D86/C86,"")</f>
        <v/>
      </c>
      <c r="G86" s="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25"/>
      <c r="AO86" s="25"/>
    </row>
    <row r="87" spans="2:41" x14ac:dyDescent="0.2">
      <c r="B87" s="22" t="str">
        <f>'Wzorzec kategorii'!B49</f>
        <v>Woda i kanalizacja</v>
      </c>
      <c r="C87" s="19">
        <v>0</v>
      </c>
      <c r="D87" s="20">
        <f>SUM(Tabela1841239[#This Row])</f>
        <v>0</v>
      </c>
      <c r="E87" s="20">
        <f t="shared" si="5"/>
        <v>0</v>
      </c>
      <c r="F87" s="21" t="str">
        <f t="shared" si="6"/>
        <v/>
      </c>
      <c r="G87" s="2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25"/>
      <c r="AO87" s="25"/>
    </row>
    <row r="88" spans="2:41" x14ac:dyDescent="0.2">
      <c r="B88" s="22" t="str">
        <f>'Wzorzec kategorii'!B50</f>
        <v>Prąd</v>
      </c>
      <c r="C88" s="19">
        <v>0</v>
      </c>
      <c r="D88" s="20">
        <f>SUM(Tabela1841239[#This Row])</f>
        <v>0</v>
      </c>
      <c r="E88" s="20">
        <f t="shared" si="5"/>
        <v>0</v>
      </c>
      <c r="F88" s="21" t="str">
        <f t="shared" si="6"/>
        <v/>
      </c>
      <c r="G88" s="2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25"/>
      <c r="AO88" s="25"/>
    </row>
    <row r="89" spans="2:41" x14ac:dyDescent="0.2">
      <c r="B89" s="22" t="str">
        <f>'Wzorzec kategorii'!B51</f>
        <v>Gaz</v>
      </c>
      <c r="C89" s="19">
        <v>0</v>
      </c>
      <c r="D89" s="20">
        <f>SUM(Tabela1841239[#This Row])</f>
        <v>0</v>
      </c>
      <c r="E89" s="20">
        <f t="shared" si="5"/>
        <v>0</v>
      </c>
      <c r="F89" s="21" t="str">
        <f t="shared" si="6"/>
        <v/>
      </c>
      <c r="G89" s="2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25"/>
      <c r="AO89" s="25"/>
    </row>
    <row r="90" spans="2:41" x14ac:dyDescent="0.2">
      <c r="B90" s="22" t="str">
        <f>'Wzorzec kategorii'!B52</f>
        <v>Ogrzewanie</v>
      </c>
      <c r="C90" s="19">
        <v>0</v>
      </c>
      <c r="D90" s="20">
        <f>SUM(Tabela1841239[#This Row])</f>
        <v>0</v>
      </c>
      <c r="E90" s="20">
        <f t="shared" si="5"/>
        <v>0</v>
      </c>
      <c r="F90" s="21" t="str">
        <f t="shared" si="6"/>
        <v/>
      </c>
      <c r="G90" s="24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25"/>
      <c r="AO90" s="25"/>
    </row>
    <row r="91" spans="2:41" x14ac:dyDescent="0.2">
      <c r="B91" s="22" t="str">
        <f>'Wzorzec kategorii'!B53</f>
        <v>Wywóz śmieci</v>
      </c>
      <c r="C91" s="19">
        <v>0</v>
      </c>
      <c r="D91" s="20">
        <f>SUM(Tabela1841239[#This Row])</f>
        <v>0</v>
      </c>
      <c r="E91" s="20">
        <f t="shared" si="5"/>
        <v>0</v>
      </c>
      <c r="F91" s="21" t="str">
        <f t="shared" si="6"/>
        <v/>
      </c>
      <c r="G91" s="24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25"/>
      <c r="AO91" s="25"/>
    </row>
    <row r="92" spans="2:41" x14ac:dyDescent="0.2">
      <c r="B92" s="22" t="str">
        <f>'Wzorzec kategorii'!B54</f>
        <v>Konserwacja i naprawy</v>
      </c>
      <c r="C92" s="19">
        <v>0</v>
      </c>
      <c r="D92" s="20">
        <f>SUM(Tabela1841239[#This Row])</f>
        <v>0</v>
      </c>
      <c r="E92" s="20">
        <f t="shared" si="5"/>
        <v>0</v>
      </c>
      <c r="F92" s="21" t="str">
        <f t="shared" si="6"/>
        <v/>
      </c>
      <c r="G92" s="2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25"/>
      <c r="AO92" s="25"/>
    </row>
    <row r="93" spans="2:41" x14ac:dyDescent="0.2">
      <c r="B93" s="22" t="str">
        <f>'Wzorzec kategorii'!B55</f>
        <v>Wyposażenie</v>
      </c>
      <c r="C93" s="19">
        <v>0</v>
      </c>
      <c r="D93" s="20">
        <f>SUM(Tabela1841239[#This Row])</f>
        <v>0</v>
      </c>
      <c r="E93" s="20">
        <f t="shared" si="5"/>
        <v>0</v>
      </c>
      <c r="F93" s="21" t="str">
        <f t="shared" si="6"/>
        <v/>
      </c>
      <c r="G93" s="2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25"/>
      <c r="AO93" s="25"/>
    </row>
    <row r="94" spans="2:41" x14ac:dyDescent="0.2">
      <c r="B94" s="22" t="str">
        <f>'Wzorzec kategorii'!B56</f>
        <v>Ubezpieczenie nieruchomości</v>
      </c>
      <c r="C94" s="19">
        <v>0</v>
      </c>
      <c r="D94" s="20">
        <f>SUM(Tabela1841239[#This Row])</f>
        <v>0</v>
      </c>
      <c r="E94" s="20">
        <f t="shared" si="5"/>
        <v>0</v>
      </c>
      <c r="F94" s="21" t="str">
        <f t="shared" si="6"/>
        <v/>
      </c>
      <c r="G94" s="2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25"/>
      <c r="AO94" s="25"/>
    </row>
    <row r="95" spans="2:41" x14ac:dyDescent="0.2">
      <c r="B95" s="22" t="str">
        <f>'Wzorzec kategorii'!B57</f>
        <v>Inne</v>
      </c>
      <c r="C95" s="19">
        <v>0</v>
      </c>
      <c r="D95" s="20">
        <f>SUM(Tabela1841239[#This Row])</f>
        <v>0</v>
      </c>
      <c r="E95" s="20">
        <f t="shared" si="5"/>
        <v>0</v>
      </c>
      <c r="F95" s="21" t="str">
        <f t="shared" si="6"/>
        <v/>
      </c>
      <c r="G95" s="2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25"/>
      <c r="AO95" s="25"/>
    </row>
    <row r="96" spans="2:41" x14ac:dyDescent="0.2">
      <c r="B96" s="5" t="s">
        <v>30</v>
      </c>
      <c r="C96" s="6"/>
      <c r="D96" s="4"/>
      <c r="E96" s="4"/>
      <c r="F96" s="4"/>
      <c r="G96" s="4"/>
      <c r="I96" s="26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</row>
    <row r="97" spans="2:41" x14ac:dyDescent="0.2">
      <c r="B97" s="2" t="str">
        <f>'Wzorzec kategorii'!B59</f>
        <v>Transport</v>
      </c>
      <c r="C97" s="3">
        <f>SUM(Transport3226[[#All],[Kolumna2]])</f>
        <v>0</v>
      </c>
      <c r="D97" s="16">
        <f>SUM(Transport3226[[#All],[Kolumna3]])</f>
        <v>0</v>
      </c>
      <c r="E97" s="3">
        <f>C97-D97</f>
        <v>0</v>
      </c>
      <c r="F97" s="17" t="str">
        <f>IFERROR(D97/C97,"")</f>
        <v/>
      </c>
      <c r="G97" s="3"/>
      <c r="I97" s="11" t="s">
        <v>44</v>
      </c>
      <c r="J97" s="11" t="s">
        <v>45</v>
      </c>
      <c r="K97" s="11" t="s">
        <v>46</v>
      </c>
      <c r="L97" s="11" t="s">
        <v>47</v>
      </c>
      <c r="M97" s="11" t="s">
        <v>48</v>
      </c>
      <c r="N97" s="11" t="s">
        <v>49</v>
      </c>
      <c r="O97" s="11" t="s">
        <v>50</v>
      </c>
      <c r="P97" s="11" t="s">
        <v>51</v>
      </c>
      <c r="Q97" s="11" t="s">
        <v>52</v>
      </c>
      <c r="R97" s="11" t="s">
        <v>53</v>
      </c>
      <c r="S97" s="11" t="s">
        <v>54</v>
      </c>
      <c r="T97" s="11" t="s">
        <v>55</v>
      </c>
      <c r="U97" s="11" t="s">
        <v>56</v>
      </c>
      <c r="V97" s="11" t="s">
        <v>57</v>
      </c>
      <c r="W97" s="11" t="s">
        <v>58</v>
      </c>
      <c r="X97" s="11" t="s">
        <v>59</v>
      </c>
      <c r="Y97" s="11" t="s">
        <v>60</v>
      </c>
      <c r="Z97" s="11" t="s">
        <v>61</v>
      </c>
      <c r="AA97" s="11" t="s">
        <v>62</v>
      </c>
      <c r="AB97" s="11" t="s">
        <v>63</v>
      </c>
      <c r="AC97" s="11" t="s">
        <v>64</v>
      </c>
      <c r="AD97" s="11" t="s">
        <v>65</v>
      </c>
      <c r="AE97" s="11" t="s">
        <v>66</v>
      </c>
      <c r="AF97" s="11" t="s">
        <v>67</v>
      </c>
      <c r="AG97" s="11" t="s">
        <v>68</v>
      </c>
      <c r="AH97" s="11" t="s">
        <v>69</v>
      </c>
      <c r="AI97" s="11" t="s">
        <v>70</v>
      </c>
      <c r="AJ97" s="11" t="s">
        <v>71</v>
      </c>
      <c r="AK97" s="11" t="s">
        <v>72</v>
      </c>
      <c r="AL97" s="11" t="s">
        <v>73</v>
      </c>
      <c r="AM97" s="11" t="s">
        <v>74</v>
      </c>
      <c r="AN97" s="25"/>
      <c r="AO97" s="25"/>
    </row>
    <row r="98" spans="2:41" x14ac:dyDescent="0.2">
      <c r="B98" s="22" t="str">
        <f>'Wzorzec kategorii'!B60</f>
        <v>Paliwo do auta</v>
      </c>
      <c r="C98" s="19">
        <v>0</v>
      </c>
      <c r="D98" s="20">
        <f>SUM(Tabela1942240[#This Row])</f>
        <v>0</v>
      </c>
      <c r="E98" s="20">
        <f t="shared" ref="E98:E107" si="7">C98-D98</f>
        <v>0</v>
      </c>
      <c r="F98" s="21" t="str">
        <f t="shared" ref="F98:F107" si="8">IFERROR(D98/C98,"")</f>
        <v/>
      </c>
      <c r="G98" s="24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25"/>
      <c r="AO98" s="25"/>
    </row>
    <row r="99" spans="2:41" x14ac:dyDescent="0.2">
      <c r="B99" s="22" t="str">
        <f>'Wzorzec kategorii'!B61</f>
        <v>Przeglądy i naprawy auta</v>
      </c>
      <c r="C99" s="19">
        <v>0</v>
      </c>
      <c r="D99" s="20">
        <f>SUM(Tabela1942240[#This Row])</f>
        <v>0</v>
      </c>
      <c r="E99" s="20">
        <f t="shared" si="7"/>
        <v>0</v>
      </c>
      <c r="F99" s="21" t="str">
        <f t="shared" si="8"/>
        <v/>
      </c>
      <c r="G99" s="2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25"/>
      <c r="AO99" s="25"/>
    </row>
    <row r="100" spans="2:41" ht="30" x14ac:dyDescent="0.2">
      <c r="B100" s="22" t="str">
        <f>'Wzorzec kategorii'!B62</f>
        <v>Wyposażenie dodatkowe (opony)</v>
      </c>
      <c r="C100" s="19">
        <v>0</v>
      </c>
      <c r="D100" s="20">
        <f>SUM(Tabela1942240[#This Row])</f>
        <v>0</v>
      </c>
      <c r="E100" s="20">
        <f t="shared" si="7"/>
        <v>0</v>
      </c>
      <c r="F100" s="21" t="str">
        <f t="shared" si="8"/>
        <v/>
      </c>
      <c r="G100" s="2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25"/>
      <c r="AO100" s="25"/>
    </row>
    <row r="101" spans="2:41" x14ac:dyDescent="0.2">
      <c r="B101" s="22" t="str">
        <f>'Wzorzec kategorii'!B63</f>
        <v>Ubezpieczenie auta</v>
      </c>
      <c r="C101" s="19">
        <v>0</v>
      </c>
      <c r="D101" s="20">
        <f>SUM(Tabela1942240[#This Row])</f>
        <v>0</v>
      </c>
      <c r="E101" s="20">
        <f t="shared" si="7"/>
        <v>0</v>
      </c>
      <c r="F101" s="21" t="str">
        <f t="shared" si="8"/>
        <v/>
      </c>
      <c r="G101" s="2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25"/>
      <c r="AO101" s="25"/>
    </row>
    <row r="102" spans="2:41" x14ac:dyDescent="0.2">
      <c r="B102" s="22" t="str">
        <f>'Wzorzec kategorii'!B64</f>
        <v>Bilet komunikacji miejskiej</v>
      </c>
      <c r="C102" s="19">
        <v>0</v>
      </c>
      <c r="D102" s="20">
        <f>SUM(Tabela1942240[#This Row])</f>
        <v>0</v>
      </c>
      <c r="E102" s="20">
        <f t="shared" si="7"/>
        <v>0</v>
      </c>
      <c r="F102" s="21" t="str">
        <f t="shared" si="8"/>
        <v/>
      </c>
      <c r="G102" s="2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25"/>
      <c r="AO102" s="25"/>
    </row>
    <row r="103" spans="2:41" x14ac:dyDescent="0.2">
      <c r="B103" s="22" t="str">
        <f>'Wzorzec kategorii'!B65</f>
        <v>Bilet PKP, PKS</v>
      </c>
      <c r="C103" s="19">
        <v>0</v>
      </c>
      <c r="D103" s="20">
        <f>SUM(Tabela1942240[#This Row])</f>
        <v>0</v>
      </c>
      <c r="E103" s="20">
        <f t="shared" si="7"/>
        <v>0</v>
      </c>
      <c r="F103" s="21" t="str">
        <f t="shared" si="8"/>
        <v/>
      </c>
      <c r="G103" s="24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25"/>
      <c r="AO103" s="25"/>
    </row>
    <row r="104" spans="2:41" x14ac:dyDescent="0.2">
      <c r="B104" s="22" t="str">
        <f>'Wzorzec kategorii'!B66</f>
        <v>Taxi</v>
      </c>
      <c r="C104" s="19">
        <v>0</v>
      </c>
      <c r="D104" s="20">
        <f>SUM(Tabela1942240[#This Row])</f>
        <v>0</v>
      </c>
      <c r="E104" s="20">
        <f t="shared" si="7"/>
        <v>0</v>
      </c>
      <c r="F104" s="21" t="str">
        <f t="shared" si="8"/>
        <v/>
      </c>
      <c r="G104" s="24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25"/>
      <c r="AO104" s="25"/>
    </row>
    <row r="105" spans="2:41" x14ac:dyDescent="0.2">
      <c r="B105" s="22" t="str">
        <f>'Wzorzec kategorii'!B67</f>
        <v>Inne</v>
      </c>
      <c r="C105" s="19">
        <v>0</v>
      </c>
      <c r="D105" s="20">
        <f>SUM(Tabela1942240[#This Row])</f>
        <v>0</v>
      </c>
      <c r="E105" s="20">
        <f t="shared" si="7"/>
        <v>0</v>
      </c>
      <c r="F105" s="21" t="str">
        <f t="shared" si="8"/>
        <v/>
      </c>
      <c r="G105" s="2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25"/>
      <c r="AO105" s="25"/>
    </row>
    <row r="106" spans="2:41" x14ac:dyDescent="0.2">
      <c r="B106" s="22" t="str">
        <f>'Wzorzec kategorii'!B68</f>
        <v>.</v>
      </c>
      <c r="C106" s="19">
        <v>0</v>
      </c>
      <c r="D106" s="20">
        <f>SUM(Tabela1942240[#This Row])</f>
        <v>0</v>
      </c>
      <c r="E106" s="20">
        <f t="shared" si="7"/>
        <v>0</v>
      </c>
      <c r="F106" s="53" t="str">
        <f t="shared" si="8"/>
        <v/>
      </c>
      <c r="G106" s="54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25"/>
      <c r="AO106" s="25"/>
    </row>
    <row r="107" spans="2:41" x14ac:dyDescent="0.2">
      <c r="B107" s="22" t="str">
        <f>'Wzorzec kategorii'!B69</f>
        <v>.</v>
      </c>
      <c r="C107" s="19">
        <v>0</v>
      </c>
      <c r="D107" s="20">
        <f>SUM(Tabela1942240[#This Row])</f>
        <v>0</v>
      </c>
      <c r="E107" s="20">
        <f t="shared" si="7"/>
        <v>0</v>
      </c>
      <c r="F107" s="53" t="str">
        <f t="shared" si="8"/>
        <v/>
      </c>
      <c r="G107" s="54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25"/>
      <c r="AO107" s="25"/>
    </row>
    <row r="108" spans="2:41" x14ac:dyDescent="0.2">
      <c r="B108" s="5" t="s">
        <v>30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</row>
    <row r="109" spans="2:41" x14ac:dyDescent="0.2">
      <c r="B109" s="2" t="str">
        <f>'Wzorzec kategorii'!B71</f>
        <v>Telekomunikacja</v>
      </c>
      <c r="C109" s="3">
        <f>SUM(Tabela832230[[#All],[Kolumna2]])</f>
        <v>0</v>
      </c>
      <c r="D109" s="16">
        <f>SUM(Tabela832230[[#All],[Kolumna3]])</f>
        <v>0</v>
      </c>
      <c r="E109" s="3">
        <f>C109-D109</f>
        <v>0</v>
      </c>
      <c r="F109" s="17" t="str">
        <f t="shared" ref="F109:F119" si="9">IFERROR(D109/C109,"")</f>
        <v/>
      </c>
      <c r="G109" s="3"/>
      <c r="I109" s="11" t="s">
        <v>44</v>
      </c>
      <c r="J109" s="11" t="s">
        <v>45</v>
      </c>
      <c r="K109" s="11" t="s">
        <v>46</v>
      </c>
      <c r="L109" s="11" t="s">
        <v>47</v>
      </c>
      <c r="M109" s="11" t="s">
        <v>48</v>
      </c>
      <c r="N109" s="11" t="s">
        <v>49</v>
      </c>
      <c r="O109" s="11" t="s">
        <v>50</v>
      </c>
      <c r="P109" s="11" t="s">
        <v>51</v>
      </c>
      <c r="Q109" s="11" t="s">
        <v>52</v>
      </c>
      <c r="R109" s="11" t="s">
        <v>53</v>
      </c>
      <c r="S109" s="11" t="s">
        <v>54</v>
      </c>
      <c r="T109" s="11" t="s">
        <v>55</v>
      </c>
      <c r="U109" s="11" t="s">
        <v>56</v>
      </c>
      <c r="V109" s="11" t="s">
        <v>57</v>
      </c>
      <c r="W109" s="11" t="s">
        <v>58</v>
      </c>
      <c r="X109" s="11" t="s">
        <v>59</v>
      </c>
      <c r="Y109" s="11" t="s">
        <v>60</v>
      </c>
      <c r="Z109" s="11" t="s">
        <v>61</v>
      </c>
      <c r="AA109" s="11" t="s">
        <v>62</v>
      </c>
      <c r="AB109" s="11" t="s">
        <v>63</v>
      </c>
      <c r="AC109" s="11" t="s">
        <v>64</v>
      </c>
      <c r="AD109" s="11" t="s">
        <v>65</v>
      </c>
      <c r="AE109" s="11" t="s">
        <v>66</v>
      </c>
      <c r="AF109" s="11" t="s">
        <v>67</v>
      </c>
      <c r="AG109" s="11" t="s">
        <v>68</v>
      </c>
      <c r="AH109" s="11" t="s">
        <v>69</v>
      </c>
      <c r="AI109" s="11" t="s">
        <v>70</v>
      </c>
      <c r="AJ109" s="11" t="s">
        <v>71</v>
      </c>
      <c r="AK109" s="11" t="s">
        <v>72</v>
      </c>
      <c r="AL109" s="11" t="s">
        <v>73</v>
      </c>
      <c r="AM109" s="11" t="s">
        <v>74</v>
      </c>
      <c r="AN109" s="25"/>
      <c r="AO109" s="25"/>
    </row>
    <row r="110" spans="2:41" x14ac:dyDescent="0.2">
      <c r="B110" s="22" t="str">
        <f>'Wzorzec kategorii'!B72</f>
        <v>Telefon 1</v>
      </c>
      <c r="C110" s="19">
        <v>0</v>
      </c>
      <c r="D110" s="20">
        <f>SUM(Tabela192143241[#This Row])</f>
        <v>0</v>
      </c>
      <c r="E110" s="20">
        <f t="shared" ref="E110:E119" si="10">C110-D110</f>
        <v>0</v>
      </c>
      <c r="F110" s="21" t="str">
        <f t="shared" si="9"/>
        <v/>
      </c>
      <c r="G110" s="24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25"/>
      <c r="AO110" s="25"/>
    </row>
    <row r="111" spans="2:41" x14ac:dyDescent="0.2">
      <c r="B111" s="22" t="str">
        <f>'Wzorzec kategorii'!B73</f>
        <v>Telefon 2</v>
      </c>
      <c r="C111" s="19">
        <v>0</v>
      </c>
      <c r="D111" s="20">
        <f>SUM(Tabela192143241[#This Row])</f>
        <v>0</v>
      </c>
      <c r="E111" s="20">
        <f t="shared" si="10"/>
        <v>0</v>
      </c>
      <c r="F111" s="21" t="str">
        <f t="shared" si="9"/>
        <v/>
      </c>
      <c r="G111" s="24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25"/>
      <c r="AO111" s="25"/>
    </row>
    <row r="112" spans="2:41" x14ac:dyDescent="0.2">
      <c r="B112" s="22" t="str">
        <f>'Wzorzec kategorii'!B74</f>
        <v>TV</v>
      </c>
      <c r="C112" s="19">
        <v>0</v>
      </c>
      <c r="D112" s="20">
        <f>SUM(Tabela192143241[#This Row])</f>
        <v>0</v>
      </c>
      <c r="E112" s="20">
        <f t="shared" si="10"/>
        <v>0</v>
      </c>
      <c r="F112" s="21" t="str">
        <f t="shared" si="9"/>
        <v/>
      </c>
      <c r="G112" s="2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5"/>
      <c r="AO112" s="25"/>
    </row>
    <row r="113" spans="2:41" x14ac:dyDescent="0.2">
      <c r="B113" s="22" t="str">
        <f>'Wzorzec kategorii'!B75</f>
        <v>Internet</v>
      </c>
      <c r="C113" s="19">
        <v>0</v>
      </c>
      <c r="D113" s="20">
        <f>SUM(Tabela192143241[#This Row])</f>
        <v>0</v>
      </c>
      <c r="E113" s="20">
        <f t="shared" si="10"/>
        <v>0</v>
      </c>
      <c r="F113" s="21" t="str">
        <f t="shared" si="9"/>
        <v/>
      </c>
      <c r="G113" s="2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25"/>
      <c r="AO113" s="25"/>
    </row>
    <row r="114" spans="2:41" x14ac:dyDescent="0.2">
      <c r="B114" s="22" t="str">
        <f>'Wzorzec kategorii'!B76</f>
        <v>Inne</v>
      </c>
      <c r="C114" s="19">
        <v>0</v>
      </c>
      <c r="D114" s="20">
        <f>SUM(Tabela192143241[#This Row])</f>
        <v>0</v>
      </c>
      <c r="E114" s="20">
        <f t="shared" si="10"/>
        <v>0</v>
      </c>
      <c r="F114" s="21" t="str">
        <f t="shared" si="9"/>
        <v/>
      </c>
      <c r="G114" s="2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25"/>
      <c r="AO114" s="25"/>
    </row>
    <row r="115" spans="2:41" x14ac:dyDescent="0.2">
      <c r="B115" s="22" t="str">
        <f>'Wzorzec kategorii'!B77</f>
        <v>.</v>
      </c>
      <c r="C115" s="19">
        <v>0</v>
      </c>
      <c r="D115" s="20">
        <f>SUM(Tabela192143241[#This Row])</f>
        <v>0</v>
      </c>
      <c r="E115" s="20">
        <f t="shared" si="10"/>
        <v>0</v>
      </c>
      <c r="F115" s="53" t="str">
        <f t="shared" si="9"/>
        <v/>
      </c>
      <c r="G115" s="54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25"/>
      <c r="AO115" s="25"/>
    </row>
    <row r="116" spans="2:41" x14ac:dyDescent="0.2">
      <c r="B116" s="22" t="str">
        <f>'Wzorzec kategorii'!B78</f>
        <v>.</v>
      </c>
      <c r="C116" s="19">
        <v>0</v>
      </c>
      <c r="D116" s="20">
        <f>SUM(Tabela192143241[#This Row])</f>
        <v>0</v>
      </c>
      <c r="E116" s="20">
        <f t="shared" si="10"/>
        <v>0</v>
      </c>
      <c r="F116" s="53" t="str">
        <f t="shared" si="9"/>
        <v/>
      </c>
      <c r="G116" s="54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25"/>
      <c r="AO116" s="25"/>
    </row>
    <row r="117" spans="2:41" x14ac:dyDescent="0.2">
      <c r="B117" s="22" t="str">
        <f>'Wzorzec kategorii'!B79</f>
        <v>.</v>
      </c>
      <c r="C117" s="19">
        <v>0</v>
      </c>
      <c r="D117" s="20">
        <f>SUM(Tabela192143241[#This Row])</f>
        <v>0</v>
      </c>
      <c r="E117" s="20">
        <f t="shared" si="10"/>
        <v>0</v>
      </c>
      <c r="F117" s="53" t="str">
        <f t="shared" si="9"/>
        <v/>
      </c>
      <c r="G117" s="54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25"/>
      <c r="AO117" s="25"/>
    </row>
    <row r="118" spans="2:41" x14ac:dyDescent="0.2">
      <c r="B118" s="22" t="str">
        <f>'Wzorzec kategorii'!B80</f>
        <v>.</v>
      </c>
      <c r="C118" s="19">
        <v>0</v>
      </c>
      <c r="D118" s="20">
        <f>SUM(Tabela192143241[#This Row])</f>
        <v>0</v>
      </c>
      <c r="E118" s="20">
        <f t="shared" si="10"/>
        <v>0</v>
      </c>
      <c r="F118" s="53" t="str">
        <f t="shared" si="9"/>
        <v/>
      </c>
      <c r="G118" s="54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25"/>
      <c r="AO118" s="25"/>
    </row>
    <row r="119" spans="2:41" x14ac:dyDescent="0.2">
      <c r="B119" s="22" t="str">
        <f>'Wzorzec kategorii'!B81</f>
        <v>.</v>
      </c>
      <c r="C119" s="19">
        <v>0</v>
      </c>
      <c r="D119" s="20">
        <f>SUM(Tabela192143241[#This Row])</f>
        <v>0</v>
      </c>
      <c r="E119" s="20">
        <f t="shared" si="10"/>
        <v>0</v>
      </c>
      <c r="F119" s="53" t="str">
        <f t="shared" si="9"/>
        <v/>
      </c>
      <c r="G119" s="54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25"/>
      <c r="AO119" s="25"/>
    </row>
    <row r="120" spans="2:41" x14ac:dyDescent="0.2"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</row>
    <row r="121" spans="2:41" x14ac:dyDescent="0.2">
      <c r="B121" s="2" t="str">
        <f>'Wzorzec kategorii'!B83</f>
        <v>Opieka zdrowotna</v>
      </c>
      <c r="C121" s="3">
        <f>SUM(Tabela933231[[#All],[Kolumna2]])</f>
        <v>0</v>
      </c>
      <c r="D121" s="16">
        <f>SUM(Tabela933231[[#All],[Kolumna3]])</f>
        <v>0</v>
      </c>
      <c r="E121" s="3">
        <f>C121-D121</f>
        <v>0</v>
      </c>
      <c r="F121" s="17" t="str">
        <f>IFERROR(D121/C121,"")</f>
        <v/>
      </c>
      <c r="G121" s="3"/>
      <c r="I121" s="11" t="s">
        <v>44</v>
      </c>
      <c r="J121" s="11" t="s">
        <v>45</v>
      </c>
      <c r="K121" s="11" t="s">
        <v>46</v>
      </c>
      <c r="L121" s="11" t="s">
        <v>47</v>
      </c>
      <c r="M121" s="11" t="s">
        <v>48</v>
      </c>
      <c r="N121" s="11" t="s">
        <v>49</v>
      </c>
      <c r="O121" s="11" t="s">
        <v>50</v>
      </c>
      <c r="P121" s="11" t="s">
        <v>51</v>
      </c>
      <c r="Q121" s="11" t="s">
        <v>52</v>
      </c>
      <c r="R121" s="11" t="s">
        <v>53</v>
      </c>
      <c r="S121" s="11" t="s">
        <v>54</v>
      </c>
      <c r="T121" s="11" t="s">
        <v>55</v>
      </c>
      <c r="U121" s="11" t="s">
        <v>56</v>
      </c>
      <c r="V121" s="11" t="s">
        <v>57</v>
      </c>
      <c r="W121" s="11" t="s">
        <v>58</v>
      </c>
      <c r="X121" s="11" t="s">
        <v>59</v>
      </c>
      <c r="Y121" s="11" t="s">
        <v>60</v>
      </c>
      <c r="Z121" s="11" t="s">
        <v>61</v>
      </c>
      <c r="AA121" s="11" t="s">
        <v>62</v>
      </c>
      <c r="AB121" s="11" t="s">
        <v>63</v>
      </c>
      <c r="AC121" s="11" t="s">
        <v>64</v>
      </c>
      <c r="AD121" s="11" t="s">
        <v>65</v>
      </c>
      <c r="AE121" s="11" t="s">
        <v>66</v>
      </c>
      <c r="AF121" s="11" t="s">
        <v>67</v>
      </c>
      <c r="AG121" s="11" t="s">
        <v>68</v>
      </c>
      <c r="AH121" s="11" t="s">
        <v>69</v>
      </c>
      <c r="AI121" s="11" t="s">
        <v>70</v>
      </c>
      <c r="AJ121" s="11" t="s">
        <v>71</v>
      </c>
      <c r="AK121" s="11" t="s">
        <v>72</v>
      </c>
      <c r="AL121" s="11" t="s">
        <v>73</v>
      </c>
      <c r="AM121" s="11" t="s">
        <v>74</v>
      </c>
      <c r="AN121" s="25"/>
      <c r="AO121" s="25"/>
    </row>
    <row r="122" spans="2:41" x14ac:dyDescent="0.2">
      <c r="B122" s="22" t="str">
        <f>'Wzorzec kategorii'!B84</f>
        <v>Lekarz</v>
      </c>
      <c r="C122" s="19">
        <v>0</v>
      </c>
      <c r="D122" s="20">
        <f>SUM(Tabela19212547245[#This Row])</f>
        <v>0</v>
      </c>
      <c r="E122" s="20">
        <f t="shared" ref="E122:E131" si="11">C122-D122</f>
        <v>0</v>
      </c>
      <c r="F122" s="21" t="str">
        <f>IFERROR(D122/C122,"")</f>
        <v/>
      </c>
      <c r="G122" s="2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25"/>
      <c r="AO122" s="25"/>
    </row>
    <row r="123" spans="2:41" x14ac:dyDescent="0.2">
      <c r="B123" s="22" t="str">
        <f>'Wzorzec kategorii'!B85</f>
        <v>Badania</v>
      </c>
      <c r="C123" s="19">
        <v>0</v>
      </c>
      <c r="D123" s="20">
        <f>SUM(Tabela19212547245[#This Row])</f>
        <v>0</v>
      </c>
      <c r="E123" s="20">
        <f t="shared" si="11"/>
        <v>0</v>
      </c>
      <c r="F123" s="21" t="str">
        <f>IFERROR(D123/C123,"")</f>
        <v/>
      </c>
      <c r="G123" s="2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25"/>
      <c r="AO123" s="25"/>
    </row>
    <row r="124" spans="2:41" x14ac:dyDescent="0.2">
      <c r="B124" s="22" t="str">
        <f>'Wzorzec kategorii'!B86</f>
        <v>Lekarstwa</v>
      </c>
      <c r="C124" s="19">
        <v>0</v>
      </c>
      <c r="D124" s="20">
        <f>SUM(Tabela19212547245[#This Row])</f>
        <v>0</v>
      </c>
      <c r="E124" s="20">
        <f t="shared" si="11"/>
        <v>0</v>
      </c>
      <c r="F124" s="21" t="str">
        <f>IFERROR(D124/C124,"")</f>
        <v/>
      </c>
      <c r="G124" s="2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25"/>
      <c r="AO124" s="25"/>
    </row>
    <row r="125" spans="2:41" x14ac:dyDescent="0.2">
      <c r="B125" s="22" t="str">
        <f>'Wzorzec kategorii'!B87</f>
        <v>Inne</v>
      </c>
      <c r="C125" s="19">
        <v>0</v>
      </c>
      <c r="D125" s="20">
        <f>SUM(Tabela19212547245[#This Row])</f>
        <v>0</v>
      </c>
      <c r="E125" s="20">
        <f t="shared" si="11"/>
        <v>0</v>
      </c>
      <c r="F125" s="21" t="str">
        <f>IFERROR(D125/C125,"")</f>
        <v/>
      </c>
      <c r="G125" s="24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25"/>
      <c r="AO125" s="25"/>
    </row>
    <row r="126" spans="2:41" x14ac:dyDescent="0.2">
      <c r="B126" s="50" t="str">
        <f>'Wzorzec kategorii'!B88</f>
        <v>.</v>
      </c>
      <c r="C126" s="19">
        <v>0</v>
      </c>
      <c r="D126" s="20">
        <f>SUM(Tabela19212547245[#This Row])</f>
        <v>0</v>
      </c>
      <c r="E126" s="20">
        <f t="shared" si="11"/>
        <v>0</v>
      </c>
      <c r="F126" s="53" t="str">
        <f t="shared" ref="F126:F131" si="12">IFERROR(D126/C126,"")</f>
        <v/>
      </c>
      <c r="G126" s="54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25"/>
      <c r="AO126" s="25"/>
    </row>
    <row r="127" spans="2:41" x14ac:dyDescent="0.2">
      <c r="B127" s="50" t="str">
        <f>'Wzorzec kategorii'!B89</f>
        <v>.</v>
      </c>
      <c r="C127" s="19">
        <v>0</v>
      </c>
      <c r="D127" s="20">
        <f>SUM(Tabela19212547245[#This Row])</f>
        <v>0</v>
      </c>
      <c r="E127" s="20">
        <f t="shared" si="11"/>
        <v>0</v>
      </c>
      <c r="F127" s="53" t="str">
        <f t="shared" si="12"/>
        <v/>
      </c>
      <c r="G127" s="54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25"/>
      <c r="AO127" s="25"/>
    </row>
    <row r="128" spans="2:41" x14ac:dyDescent="0.2">
      <c r="B128" s="50" t="str">
        <f>'Wzorzec kategorii'!B90</f>
        <v>.</v>
      </c>
      <c r="C128" s="19">
        <v>0</v>
      </c>
      <c r="D128" s="20">
        <f>SUM(Tabela19212547245[#This Row])</f>
        <v>0</v>
      </c>
      <c r="E128" s="20">
        <f t="shared" si="11"/>
        <v>0</v>
      </c>
      <c r="F128" s="53" t="str">
        <f t="shared" si="12"/>
        <v/>
      </c>
      <c r="G128" s="54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25"/>
      <c r="AO128" s="25"/>
    </row>
    <row r="129" spans="2:41" x14ac:dyDescent="0.2">
      <c r="B129" s="50" t="str">
        <f>'Wzorzec kategorii'!B91</f>
        <v>.</v>
      </c>
      <c r="C129" s="19">
        <v>0</v>
      </c>
      <c r="D129" s="20">
        <f>SUM(Tabela19212547245[#This Row])</f>
        <v>0</v>
      </c>
      <c r="E129" s="20">
        <f t="shared" si="11"/>
        <v>0</v>
      </c>
      <c r="F129" s="53" t="str">
        <f t="shared" si="12"/>
        <v/>
      </c>
      <c r="G129" s="54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25"/>
      <c r="AO129" s="25"/>
    </row>
    <row r="130" spans="2:41" x14ac:dyDescent="0.2">
      <c r="B130" s="50" t="str">
        <f>'Wzorzec kategorii'!B92</f>
        <v>.</v>
      </c>
      <c r="C130" s="19">
        <v>0</v>
      </c>
      <c r="D130" s="20">
        <f>SUM(Tabela19212547245[#This Row])</f>
        <v>0</v>
      </c>
      <c r="E130" s="20">
        <f t="shared" si="11"/>
        <v>0</v>
      </c>
      <c r="F130" s="53" t="str">
        <f t="shared" si="12"/>
        <v/>
      </c>
      <c r="G130" s="54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25"/>
      <c r="AO130" s="25"/>
    </row>
    <row r="131" spans="2:41" x14ac:dyDescent="0.2">
      <c r="B131" s="50" t="str">
        <f>'Wzorzec kategorii'!B93</f>
        <v>.</v>
      </c>
      <c r="C131" s="19">
        <v>0</v>
      </c>
      <c r="D131" s="20">
        <f>SUM(Tabela19212547245[#This Row])</f>
        <v>0</v>
      </c>
      <c r="E131" s="20">
        <f t="shared" si="11"/>
        <v>0</v>
      </c>
      <c r="F131" s="53" t="str">
        <f t="shared" si="12"/>
        <v/>
      </c>
      <c r="G131" s="54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25"/>
      <c r="AO131" s="25"/>
    </row>
    <row r="132" spans="2:41" x14ac:dyDescent="0.2">
      <c r="B132" s="13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</row>
    <row r="133" spans="2:41" x14ac:dyDescent="0.2">
      <c r="B133" s="2" t="str">
        <f>'Wzorzec kategorii'!B95</f>
        <v>Ubranie</v>
      </c>
      <c r="C133" s="3">
        <f>SUM(Tabela1034232[[#All],[Kolumna2]])</f>
        <v>0</v>
      </c>
      <c r="D133" s="16">
        <f>SUM(Tabela1034232[[#All],[Kolumna3]])</f>
        <v>0</v>
      </c>
      <c r="E133" s="3">
        <f>C133-D133</f>
        <v>0</v>
      </c>
      <c r="F133" s="17" t="str">
        <f t="shared" ref="F133:F143" si="13">IFERROR(D133/C133,"")</f>
        <v/>
      </c>
      <c r="G133" s="3"/>
      <c r="I133" s="11" t="s">
        <v>44</v>
      </c>
      <c r="J133" s="11" t="s">
        <v>45</v>
      </c>
      <c r="K133" s="11" t="s">
        <v>46</v>
      </c>
      <c r="L133" s="11" t="s">
        <v>47</v>
      </c>
      <c r="M133" s="11" t="s">
        <v>48</v>
      </c>
      <c r="N133" s="11" t="s">
        <v>49</v>
      </c>
      <c r="O133" s="11" t="s">
        <v>50</v>
      </c>
      <c r="P133" s="11" t="s">
        <v>51</v>
      </c>
      <c r="Q133" s="11" t="s">
        <v>52</v>
      </c>
      <c r="R133" s="11" t="s">
        <v>53</v>
      </c>
      <c r="S133" s="11" t="s">
        <v>54</v>
      </c>
      <c r="T133" s="11" t="s">
        <v>55</v>
      </c>
      <c r="U133" s="11" t="s">
        <v>56</v>
      </c>
      <c r="V133" s="11" t="s">
        <v>57</v>
      </c>
      <c r="W133" s="11" t="s">
        <v>58</v>
      </c>
      <c r="X133" s="11" t="s">
        <v>59</v>
      </c>
      <c r="Y133" s="11" t="s">
        <v>60</v>
      </c>
      <c r="Z133" s="11" t="s">
        <v>61</v>
      </c>
      <c r="AA133" s="11" t="s">
        <v>62</v>
      </c>
      <c r="AB133" s="11" t="s">
        <v>63</v>
      </c>
      <c r="AC133" s="11" t="s">
        <v>64</v>
      </c>
      <c r="AD133" s="11" t="s">
        <v>65</v>
      </c>
      <c r="AE133" s="11" t="s">
        <v>66</v>
      </c>
      <c r="AF133" s="11" t="s">
        <v>67</v>
      </c>
      <c r="AG133" s="11" t="s">
        <v>68</v>
      </c>
      <c r="AH133" s="11" t="s">
        <v>69</v>
      </c>
      <c r="AI133" s="11" t="s">
        <v>70</v>
      </c>
      <c r="AJ133" s="11" t="s">
        <v>71</v>
      </c>
      <c r="AK133" s="11" t="s">
        <v>72</v>
      </c>
      <c r="AL133" s="11" t="s">
        <v>73</v>
      </c>
      <c r="AM133" s="11" t="s">
        <v>74</v>
      </c>
      <c r="AN133" s="25"/>
      <c r="AO133" s="25"/>
    </row>
    <row r="134" spans="2:41" x14ac:dyDescent="0.2">
      <c r="B134" s="22" t="str">
        <f>'Wzorzec kategorii'!B96</f>
        <v>Ubranie zwykłe</v>
      </c>
      <c r="C134" s="19">
        <v>0</v>
      </c>
      <c r="D134" s="20">
        <f>SUM(Tabela19212446244[#This Row])</f>
        <v>0</v>
      </c>
      <c r="E134" s="20">
        <f t="shared" ref="E134:E143" si="14">C134-D134</f>
        <v>0</v>
      </c>
      <c r="F134" s="21" t="str">
        <f t="shared" si="13"/>
        <v/>
      </c>
      <c r="G134" s="2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25"/>
      <c r="AO134" s="25"/>
    </row>
    <row r="135" spans="2:41" x14ac:dyDescent="0.2">
      <c r="B135" s="22" t="str">
        <f>'Wzorzec kategorii'!B97</f>
        <v>Ubranie sportowe</v>
      </c>
      <c r="C135" s="19">
        <v>0</v>
      </c>
      <c r="D135" s="20">
        <f>SUM(Tabela19212446244[#This Row])</f>
        <v>0</v>
      </c>
      <c r="E135" s="20">
        <f t="shared" si="14"/>
        <v>0</v>
      </c>
      <c r="F135" s="21" t="str">
        <f t="shared" si="13"/>
        <v/>
      </c>
      <c r="G135" s="24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25"/>
      <c r="AO135" s="25"/>
    </row>
    <row r="136" spans="2:41" x14ac:dyDescent="0.2">
      <c r="B136" s="22" t="str">
        <f>'Wzorzec kategorii'!B98</f>
        <v>Buty</v>
      </c>
      <c r="C136" s="19">
        <v>0</v>
      </c>
      <c r="D136" s="20">
        <f>SUM(Tabela19212446244[#This Row])</f>
        <v>0</v>
      </c>
      <c r="E136" s="20">
        <f t="shared" si="14"/>
        <v>0</v>
      </c>
      <c r="F136" s="21" t="str">
        <f t="shared" si="13"/>
        <v/>
      </c>
      <c r="G136" s="24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25"/>
      <c r="AO136" s="25"/>
    </row>
    <row r="137" spans="2:41" x14ac:dyDescent="0.2">
      <c r="B137" s="22" t="str">
        <f>'Wzorzec kategorii'!B99</f>
        <v>Dodatki</v>
      </c>
      <c r="C137" s="19">
        <v>0</v>
      </c>
      <c r="D137" s="20">
        <f>SUM(Tabela19212446244[#This Row])</f>
        <v>0</v>
      </c>
      <c r="E137" s="20">
        <f t="shared" si="14"/>
        <v>0</v>
      </c>
      <c r="F137" s="21" t="str">
        <f t="shared" si="13"/>
        <v/>
      </c>
      <c r="G137" s="2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25"/>
      <c r="AO137" s="25"/>
    </row>
    <row r="138" spans="2:41" x14ac:dyDescent="0.2">
      <c r="B138" s="22" t="str">
        <f>'Wzorzec kategorii'!B100</f>
        <v>Inne</v>
      </c>
      <c r="C138" s="19">
        <v>0</v>
      </c>
      <c r="D138" s="20">
        <f>SUM(Tabela19212446244[#This Row])</f>
        <v>0</v>
      </c>
      <c r="E138" s="20">
        <f t="shared" si="14"/>
        <v>0</v>
      </c>
      <c r="F138" s="21" t="str">
        <f t="shared" si="13"/>
        <v/>
      </c>
      <c r="G138" s="2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25"/>
      <c r="AO138" s="25"/>
    </row>
    <row r="139" spans="2:41" x14ac:dyDescent="0.2">
      <c r="B139" s="50" t="str">
        <f>'Wzorzec kategorii'!B101</f>
        <v>.</v>
      </c>
      <c r="C139" s="19">
        <v>0</v>
      </c>
      <c r="D139" s="20">
        <f>SUM(Tabela19212446244[#This Row])</f>
        <v>0</v>
      </c>
      <c r="E139" s="20">
        <f t="shared" si="14"/>
        <v>0</v>
      </c>
      <c r="F139" s="53" t="str">
        <f t="shared" si="13"/>
        <v/>
      </c>
      <c r="G139" s="54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25"/>
      <c r="AO139" s="25"/>
    </row>
    <row r="140" spans="2:41" x14ac:dyDescent="0.2">
      <c r="B140" s="50" t="str">
        <f>'Wzorzec kategorii'!B102</f>
        <v>.</v>
      </c>
      <c r="C140" s="19">
        <v>0</v>
      </c>
      <c r="D140" s="20">
        <f>SUM(Tabela19212446244[#This Row])</f>
        <v>0</v>
      </c>
      <c r="E140" s="20">
        <f t="shared" si="14"/>
        <v>0</v>
      </c>
      <c r="F140" s="53" t="str">
        <f t="shared" si="13"/>
        <v/>
      </c>
      <c r="G140" s="54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25"/>
      <c r="AO140" s="25"/>
    </row>
    <row r="141" spans="2:41" x14ac:dyDescent="0.2">
      <c r="B141" s="50" t="str">
        <f>'Wzorzec kategorii'!B103</f>
        <v>.</v>
      </c>
      <c r="C141" s="19">
        <v>0</v>
      </c>
      <c r="D141" s="20">
        <f>SUM(Tabela19212446244[#This Row])</f>
        <v>0</v>
      </c>
      <c r="E141" s="20">
        <f t="shared" si="14"/>
        <v>0</v>
      </c>
      <c r="F141" s="53" t="str">
        <f t="shared" si="13"/>
        <v/>
      </c>
      <c r="G141" s="54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25"/>
      <c r="AO141" s="25"/>
    </row>
    <row r="142" spans="2:41" x14ac:dyDescent="0.2">
      <c r="B142" s="50" t="str">
        <f>'Wzorzec kategorii'!B104</f>
        <v>.</v>
      </c>
      <c r="C142" s="19">
        <v>0</v>
      </c>
      <c r="D142" s="20">
        <f>SUM(Tabela19212446244[#This Row])</f>
        <v>0</v>
      </c>
      <c r="E142" s="20">
        <f t="shared" si="14"/>
        <v>0</v>
      </c>
      <c r="F142" s="53" t="str">
        <f t="shared" si="13"/>
        <v/>
      </c>
      <c r="G142" s="54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25"/>
      <c r="AO142" s="25"/>
    </row>
    <row r="143" spans="2:41" x14ac:dyDescent="0.2">
      <c r="B143" s="50" t="str">
        <f>'Wzorzec kategorii'!B105</f>
        <v>.</v>
      </c>
      <c r="C143" s="19">
        <v>0</v>
      </c>
      <c r="D143" s="20">
        <f>SUM(Tabela19212446244[#This Row])</f>
        <v>0</v>
      </c>
      <c r="E143" s="20">
        <f t="shared" si="14"/>
        <v>0</v>
      </c>
      <c r="F143" s="53" t="str">
        <f t="shared" si="13"/>
        <v/>
      </c>
      <c r="G143" s="54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25"/>
      <c r="AO143" s="25"/>
    </row>
    <row r="144" spans="2:41" x14ac:dyDescent="0.2">
      <c r="B144" s="5" t="s">
        <v>30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</row>
    <row r="145" spans="2:41" x14ac:dyDescent="0.2">
      <c r="B145" s="2" t="str">
        <f>'Wzorzec kategorii'!B107</f>
        <v>Higiena</v>
      </c>
      <c r="C145" s="3">
        <f>SUM(Tabela1135233[[#All],[Kolumna2]])</f>
        <v>0</v>
      </c>
      <c r="D145" s="16">
        <f>SUM(Tabela1135233[[#All],[Kolumna3]])</f>
        <v>0</v>
      </c>
      <c r="E145" s="3">
        <f>C145-D145</f>
        <v>0</v>
      </c>
      <c r="F145" s="17" t="str">
        <f t="shared" ref="F145:F155" si="15">IFERROR(D145/C145,"")</f>
        <v/>
      </c>
      <c r="G145" s="3"/>
      <c r="I145" s="11" t="s">
        <v>44</v>
      </c>
      <c r="J145" s="11" t="s">
        <v>45</v>
      </c>
      <c r="K145" s="11" t="s">
        <v>46</v>
      </c>
      <c r="L145" s="11" t="s">
        <v>47</v>
      </c>
      <c r="M145" s="11" t="s">
        <v>48</v>
      </c>
      <c r="N145" s="11" t="s">
        <v>49</v>
      </c>
      <c r="O145" s="11" t="s">
        <v>50</v>
      </c>
      <c r="P145" s="11" t="s">
        <v>51</v>
      </c>
      <c r="Q145" s="11" t="s">
        <v>52</v>
      </c>
      <c r="R145" s="11" t="s">
        <v>53</v>
      </c>
      <c r="S145" s="11" t="s">
        <v>54</v>
      </c>
      <c r="T145" s="11" t="s">
        <v>55</v>
      </c>
      <c r="U145" s="11" t="s">
        <v>56</v>
      </c>
      <c r="V145" s="11" t="s">
        <v>57</v>
      </c>
      <c r="W145" s="11" t="s">
        <v>58</v>
      </c>
      <c r="X145" s="11" t="s">
        <v>59</v>
      </c>
      <c r="Y145" s="11" t="s">
        <v>60</v>
      </c>
      <c r="Z145" s="11" t="s">
        <v>61</v>
      </c>
      <c r="AA145" s="11" t="s">
        <v>62</v>
      </c>
      <c r="AB145" s="11" t="s">
        <v>63</v>
      </c>
      <c r="AC145" s="11" t="s">
        <v>64</v>
      </c>
      <c r="AD145" s="11" t="s">
        <v>65</v>
      </c>
      <c r="AE145" s="11" t="s">
        <v>66</v>
      </c>
      <c r="AF145" s="11" t="s">
        <v>67</v>
      </c>
      <c r="AG145" s="11" t="s">
        <v>68</v>
      </c>
      <c r="AH145" s="11" t="s">
        <v>69</v>
      </c>
      <c r="AI145" s="11" t="s">
        <v>70</v>
      </c>
      <c r="AJ145" s="11" t="s">
        <v>71</v>
      </c>
      <c r="AK145" s="11" t="s">
        <v>72</v>
      </c>
      <c r="AL145" s="11" t="s">
        <v>73</v>
      </c>
      <c r="AM145" s="11" t="s">
        <v>74</v>
      </c>
      <c r="AN145" s="25"/>
      <c r="AO145" s="25"/>
    </row>
    <row r="146" spans="2:41" x14ac:dyDescent="0.2">
      <c r="B146" s="22" t="str">
        <f>'Wzorzec kategorii'!B108</f>
        <v>Kosmetyki</v>
      </c>
      <c r="C146" s="19">
        <v>0</v>
      </c>
      <c r="D146" s="20">
        <f>SUM(Tabela192244242[#This Row])</f>
        <v>0</v>
      </c>
      <c r="E146" s="20">
        <f t="shared" ref="E146:E155" si="16">C146-D146</f>
        <v>0</v>
      </c>
      <c r="F146" s="21" t="str">
        <f t="shared" si="15"/>
        <v/>
      </c>
      <c r="G146" s="24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25"/>
      <c r="AO146" s="25"/>
    </row>
    <row r="147" spans="2:41" x14ac:dyDescent="0.2">
      <c r="B147" s="22" t="str">
        <f>'Wzorzec kategorii'!B109</f>
        <v>Środki czystości (chemia)</v>
      </c>
      <c r="C147" s="19">
        <v>0</v>
      </c>
      <c r="D147" s="20">
        <f>SUM(Tabela192244242[#This Row])</f>
        <v>0</v>
      </c>
      <c r="E147" s="20">
        <f t="shared" si="16"/>
        <v>0</v>
      </c>
      <c r="F147" s="21" t="str">
        <f t="shared" si="15"/>
        <v/>
      </c>
      <c r="G147" s="2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25"/>
      <c r="AO147" s="25"/>
    </row>
    <row r="148" spans="2:41" x14ac:dyDescent="0.2">
      <c r="B148" s="22" t="str">
        <f>'Wzorzec kategorii'!B110</f>
        <v>Fryzjer</v>
      </c>
      <c r="C148" s="19">
        <v>0</v>
      </c>
      <c r="D148" s="20">
        <f>SUM(Tabela192244242[#This Row])</f>
        <v>0</v>
      </c>
      <c r="E148" s="20">
        <f t="shared" si="16"/>
        <v>0</v>
      </c>
      <c r="F148" s="21" t="str">
        <f t="shared" si="15"/>
        <v/>
      </c>
      <c r="G148" s="2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25"/>
      <c r="AO148" s="25"/>
    </row>
    <row r="149" spans="2:41" x14ac:dyDescent="0.2">
      <c r="B149" s="22" t="str">
        <f>'Wzorzec kategorii'!B111</f>
        <v>Kosmetyczka</v>
      </c>
      <c r="C149" s="19">
        <v>0</v>
      </c>
      <c r="D149" s="20">
        <f>SUM(Tabela192244242[#This Row])</f>
        <v>0</v>
      </c>
      <c r="E149" s="20">
        <f t="shared" si="16"/>
        <v>0</v>
      </c>
      <c r="F149" s="21" t="str">
        <f t="shared" si="15"/>
        <v/>
      </c>
      <c r="G149" s="2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25"/>
      <c r="AO149" s="25"/>
    </row>
    <row r="150" spans="2:41" x14ac:dyDescent="0.2">
      <c r="B150" s="22" t="str">
        <f>'Wzorzec kategorii'!B112</f>
        <v>Inne</v>
      </c>
      <c r="C150" s="19">
        <v>0</v>
      </c>
      <c r="D150" s="20">
        <f>SUM(Tabela192244242[#This Row])</f>
        <v>0</v>
      </c>
      <c r="E150" s="20">
        <f t="shared" si="16"/>
        <v>0</v>
      </c>
      <c r="F150" s="21" t="str">
        <f t="shared" si="15"/>
        <v/>
      </c>
      <c r="G150" s="2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25"/>
      <c r="AO150" s="25"/>
    </row>
    <row r="151" spans="2:41" x14ac:dyDescent="0.2">
      <c r="B151" s="22" t="str">
        <f>'Wzorzec kategorii'!B113</f>
        <v>.</v>
      </c>
      <c r="C151" s="19">
        <v>0</v>
      </c>
      <c r="D151" s="20">
        <f>SUM(Tabela192244242[#This Row])</f>
        <v>0</v>
      </c>
      <c r="E151" s="20">
        <f t="shared" si="16"/>
        <v>0</v>
      </c>
      <c r="F151" s="53" t="str">
        <f t="shared" si="15"/>
        <v/>
      </c>
      <c r="G151" s="54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25"/>
      <c r="AO151" s="25"/>
    </row>
    <row r="152" spans="2:41" x14ac:dyDescent="0.2">
      <c r="B152" s="22" t="str">
        <f>'Wzorzec kategorii'!B114</f>
        <v>.</v>
      </c>
      <c r="C152" s="19">
        <v>0</v>
      </c>
      <c r="D152" s="20">
        <f>SUM(Tabela192244242[#This Row])</f>
        <v>0</v>
      </c>
      <c r="E152" s="20">
        <f t="shared" si="16"/>
        <v>0</v>
      </c>
      <c r="F152" s="53" t="str">
        <f t="shared" si="15"/>
        <v/>
      </c>
      <c r="G152" s="54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25"/>
      <c r="AO152" s="25"/>
    </row>
    <row r="153" spans="2:41" x14ac:dyDescent="0.2">
      <c r="B153" s="22" t="str">
        <f>'Wzorzec kategorii'!B115</f>
        <v>.</v>
      </c>
      <c r="C153" s="19">
        <v>0</v>
      </c>
      <c r="D153" s="20">
        <f>SUM(Tabela192244242[#This Row])</f>
        <v>0</v>
      </c>
      <c r="E153" s="20">
        <f t="shared" si="16"/>
        <v>0</v>
      </c>
      <c r="F153" s="53" t="str">
        <f t="shared" si="15"/>
        <v/>
      </c>
      <c r="G153" s="54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25"/>
      <c r="AO153" s="25"/>
    </row>
    <row r="154" spans="2:41" x14ac:dyDescent="0.2">
      <c r="B154" s="22" t="str">
        <f>'Wzorzec kategorii'!B116</f>
        <v>.</v>
      </c>
      <c r="C154" s="19">
        <v>0</v>
      </c>
      <c r="D154" s="20">
        <f>SUM(Tabela192244242[#This Row])</f>
        <v>0</v>
      </c>
      <c r="E154" s="20">
        <f t="shared" si="16"/>
        <v>0</v>
      </c>
      <c r="F154" s="53" t="str">
        <f t="shared" si="15"/>
        <v/>
      </c>
      <c r="G154" s="54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25"/>
      <c r="AO154" s="25"/>
    </row>
    <row r="155" spans="2:41" x14ac:dyDescent="0.2">
      <c r="B155" s="22" t="str">
        <f>'Wzorzec kategorii'!B117</f>
        <v>.</v>
      </c>
      <c r="C155" s="19">
        <v>0</v>
      </c>
      <c r="D155" s="20">
        <f>SUM(Tabela192244242[#This Row])</f>
        <v>0</v>
      </c>
      <c r="E155" s="20">
        <f t="shared" si="16"/>
        <v>0</v>
      </c>
      <c r="F155" s="53" t="str">
        <f t="shared" si="15"/>
        <v/>
      </c>
      <c r="G155" s="54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25"/>
      <c r="AO155" s="25"/>
    </row>
    <row r="156" spans="2:41" x14ac:dyDescent="0.2">
      <c r="B156" s="5" t="s">
        <v>30</v>
      </c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</row>
    <row r="157" spans="2:41" x14ac:dyDescent="0.2">
      <c r="B157" s="2" t="str">
        <f>'Wzorzec kategorii'!B119</f>
        <v>Dzieci</v>
      </c>
      <c r="C157" s="3">
        <f>SUM(Tabela1236234[[#All],[Kolumna2]])</f>
        <v>0</v>
      </c>
      <c r="D157" s="16">
        <f>SUM(Tabela1236234[[#All],[Kolumna3]])</f>
        <v>0</v>
      </c>
      <c r="E157" s="3">
        <f>C157-D157</f>
        <v>0</v>
      </c>
      <c r="F157" s="17" t="str">
        <f>IFERROR(D157/C157,"")</f>
        <v/>
      </c>
      <c r="G157" s="3"/>
      <c r="I157" s="11" t="s">
        <v>44</v>
      </c>
      <c r="J157" s="11" t="s">
        <v>45</v>
      </c>
      <c r="K157" s="11" t="s">
        <v>46</v>
      </c>
      <c r="L157" s="11" t="s">
        <v>47</v>
      </c>
      <c r="M157" s="11" t="s">
        <v>48</v>
      </c>
      <c r="N157" s="11" t="s">
        <v>49</v>
      </c>
      <c r="O157" s="11" t="s">
        <v>50</v>
      </c>
      <c r="P157" s="11" t="s">
        <v>51</v>
      </c>
      <c r="Q157" s="11" t="s">
        <v>52</v>
      </c>
      <c r="R157" s="11" t="s">
        <v>53</v>
      </c>
      <c r="S157" s="11" t="s">
        <v>54</v>
      </c>
      <c r="T157" s="11" t="s">
        <v>55</v>
      </c>
      <c r="U157" s="11" t="s">
        <v>56</v>
      </c>
      <c r="V157" s="11" t="s">
        <v>57</v>
      </c>
      <c r="W157" s="11" t="s">
        <v>58</v>
      </c>
      <c r="X157" s="11" t="s">
        <v>59</v>
      </c>
      <c r="Y157" s="11" t="s">
        <v>60</v>
      </c>
      <c r="Z157" s="11" t="s">
        <v>61</v>
      </c>
      <c r="AA157" s="11" t="s">
        <v>62</v>
      </c>
      <c r="AB157" s="11" t="s">
        <v>63</v>
      </c>
      <c r="AC157" s="11" t="s">
        <v>64</v>
      </c>
      <c r="AD157" s="11" t="s">
        <v>65</v>
      </c>
      <c r="AE157" s="11" t="s">
        <v>66</v>
      </c>
      <c r="AF157" s="11" t="s">
        <v>67</v>
      </c>
      <c r="AG157" s="11" t="s">
        <v>68</v>
      </c>
      <c r="AH157" s="11" t="s">
        <v>69</v>
      </c>
      <c r="AI157" s="11" t="s">
        <v>70</v>
      </c>
      <c r="AJ157" s="11" t="s">
        <v>71</v>
      </c>
      <c r="AK157" s="11" t="s">
        <v>72</v>
      </c>
      <c r="AL157" s="11" t="s">
        <v>73</v>
      </c>
      <c r="AM157" s="11" t="s">
        <v>74</v>
      </c>
      <c r="AN157" s="25"/>
      <c r="AO157" s="25"/>
    </row>
    <row r="158" spans="2:41" x14ac:dyDescent="0.2">
      <c r="B158" s="22" t="str">
        <f>'Wzorzec kategorii'!B120</f>
        <v>Artykuły szkolne</v>
      </c>
      <c r="C158" s="19">
        <v>0</v>
      </c>
      <c r="D158" s="20">
        <f>SUM(Tabela2548246[#This Row])</f>
        <v>0</v>
      </c>
      <c r="E158" s="20">
        <f t="shared" ref="E158:E167" si="17">C158-D158</f>
        <v>0</v>
      </c>
      <c r="F158" s="21" t="str">
        <f t="shared" ref="F158:F167" si="18">IFERROR(D158/C158,"")</f>
        <v/>
      </c>
      <c r="G158" s="2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25"/>
      <c r="AO158" s="25"/>
    </row>
    <row r="159" spans="2:41" x14ac:dyDescent="0.2">
      <c r="B159" s="22" t="str">
        <f>'Wzorzec kategorii'!B121</f>
        <v>Dodatkowe zajęcia</v>
      </c>
      <c r="C159" s="19">
        <v>0</v>
      </c>
      <c r="D159" s="20">
        <f>SUM(Tabela2548246[#This Row])</f>
        <v>0</v>
      </c>
      <c r="E159" s="20">
        <f t="shared" si="17"/>
        <v>0</v>
      </c>
      <c r="F159" s="21" t="str">
        <f t="shared" si="18"/>
        <v/>
      </c>
      <c r="G159" s="2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25"/>
      <c r="AO159" s="25"/>
    </row>
    <row r="160" spans="2:41" x14ac:dyDescent="0.2">
      <c r="B160" s="22" t="str">
        <f>'Wzorzec kategorii'!B122</f>
        <v>Wpłaty na szkołę itp.</v>
      </c>
      <c r="C160" s="19">
        <v>0</v>
      </c>
      <c r="D160" s="20">
        <f>SUM(Tabela2548246[#This Row])</f>
        <v>0</v>
      </c>
      <c r="E160" s="20">
        <f t="shared" si="17"/>
        <v>0</v>
      </c>
      <c r="F160" s="21" t="str">
        <f t="shared" si="18"/>
        <v/>
      </c>
      <c r="G160" s="2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25"/>
      <c r="AO160" s="25"/>
    </row>
    <row r="161" spans="2:41" x14ac:dyDescent="0.2">
      <c r="B161" s="22" t="str">
        <f>'Wzorzec kategorii'!B123</f>
        <v>Zabawki / gry</v>
      </c>
      <c r="C161" s="19">
        <v>0</v>
      </c>
      <c r="D161" s="20">
        <f>SUM(Tabela2548246[#This Row])</f>
        <v>0</v>
      </c>
      <c r="E161" s="20">
        <f t="shared" si="17"/>
        <v>0</v>
      </c>
      <c r="F161" s="21" t="str">
        <f t="shared" si="18"/>
        <v/>
      </c>
      <c r="G161" s="2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25"/>
      <c r="AO161" s="25"/>
    </row>
    <row r="162" spans="2:41" x14ac:dyDescent="0.2">
      <c r="B162" s="22" t="str">
        <f>'Wzorzec kategorii'!B124</f>
        <v>Opieka nad dziećmi</v>
      </c>
      <c r="C162" s="19">
        <v>0</v>
      </c>
      <c r="D162" s="20">
        <f>SUM(Tabela2548246[#This Row])</f>
        <v>0</v>
      </c>
      <c r="E162" s="20">
        <f t="shared" si="17"/>
        <v>0</v>
      </c>
      <c r="F162" s="21" t="str">
        <f t="shared" si="18"/>
        <v/>
      </c>
      <c r="G162" s="2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25"/>
      <c r="AO162" s="25"/>
    </row>
    <row r="163" spans="2:41" x14ac:dyDescent="0.2">
      <c r="B163" s="22" t="str">
        <f>'Wzorzec kategorii'!B125</f>
        <v>Inne</v>
      </c>
      <c r="C163" s="19">
        <v>0</v>
      </c>
      <c r="D163" s="20">
        <f>SUM(Tabela2548246[#This Row])</f>
        <v>0</v>
      </c>
      <c r="E163" s="20">
        <f t="shared" si="17"/>
        <v>0</v>
      </c>
      <c r="F163" s="21" t="str">
        <f t="shared" si="18"/>
        <v/>
      </c>
      <c r="G163" s="24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25"/>
      <c r="AO163" s="25"/>
    </row>
    <row r="164" spans="2:41" x14ac:dyDescent="0.2">
      <c r="B164" s="51" t="str">
        <f>'Wzorzec kategorii'!B126</f>
        <v>.</v>
      </c>
      <c r="C164" s="19">
        <v>0</v>
      </c>
      <c r="D164" s="20">
        <f>SUM(Tabela2548246[#This Row])</f>
        <v>0</v>
      </c>
      <c r="E164" s="20">
        <f t="shared" si="17"/>
        <v>0</v>
      </c>
      <c r="F164" s="53" t="str">
        <f t="shared" si="18"/>
        <v/>
      </c>
      <c r="G164" s="24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25"/>
      <c r="AO164" s="25"/>
    </row>
    <row r="165" spans="2:41" x14ac:dyDescent="0.2">
      <c r="B165" s="51" t="str">
        <f>'Wzorzec kategorii'!B127</f>
        <v>.</v>
      </c>
      <c r="C165" s="19">
        <v>0</v>
      </c>
      <c r="D165" s="20">
        <f>SUM(Tabela2548246[#This Row])</f>
        <v>0</v>
      </c>
      <c r="E165" s="20">
        <f t="shared" si="17"/>
        <v>0</v>
      </c>
      <c r="F165" s="53" t="str">
        <f t="shared" si="18"/>
        <v/>
      </c>
      <c r="G165" s="24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25"/>
      <c r="AO165" s="25"/>
    </row>
    <row r="166" spans="2:41" x14ac:dyDescent="0.2">
      <c r="B166" s="51" t="str">
        <f>'Wzorzec kategorii'!B128</f>
        <v>.</v>
      </c>
      <c r="C166" s="19">
        <v>0</v>
      </c>
      <c r="D166" s="20">
        <f>SUM(Tabela2548246[#This Row])</f>
        <v>0</v>
      </c>
      <c r="E166" s="20">
        <f t="shared" si="17"/>
        <v>0</v>
      </c>
      <c r="F166" s="53" t="str">
        <f t="shared" si="18"/>
        <v/>
      </c>
      <c r="G166" s="24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25"/>
      <c r="AO166" s="25"/>
    </row>
    <row r="167" spans="2:41" x14ac:dyDescent="0.2">
      <c r="B167" s="51" t="str">
        <f>'Wzorzec kategorii'!B129</f>
        <v>.</v>
      </c>
      <c r="C167" s="19">
        <v>0</v>
      </c>
      <c r="D167" s="20">
        <f>SUM(Tabela2548246[#This Row])</f>
        <v>0</v>
      </c>
      <c r="E167" s="20">
        <f t="shared" si="17"/>
        <v>0</v>
      </c>
      <c r="F167" s="53" t="str">
        <f t="shared" si="18"/>
        <v/>
      </c>
      <c r="G167" s="24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25"/>
      <c r="AO167" s="25"/>
    </row>
    <row r="168" spans="2:41" x14ac:dyDescent="0.2">
      <c r="B168" s="5" t="s">
        <v>30</v>
      </c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</row>
    <row r="169" spans="2:41" x14ac:dyDescent="0.2">
      <c r="B169" s="2" t="str">
        <f>'Wzorzec kategorii'!B131</f>
        <v>Rozrywka</v>
      </c>
      <c r="C169" s="3">
        <f>SUM(Tabela1337235[[#All],[Kolumna2]])</f>
        <v>0</v>
      </c>
      <c r="D169" s="16">
        <f>SUM(Tabela1337235[[#All],[Kolumna3]])</f>
        <v>0</v>
      </c>
      <c r="E169" s="3">
        <f>C169-D169</f>
        <v>0</v>
      </c>
      <c r="F169" s="17" t="str">
        <f>IFERROR(D169/C169,"")</f>
        <v/>
      </c>
      <c r="G169" s="3"/>
      <c r="I169" s="11" t="s">
        <v>44</v>
      </c>
      <c r="J169" s="11" t="s">
        <v>45</v>
      </c>
      <c r="K169" s="11" t="s">
        <v>46</v>
      </c>
      <c r="L169" s="11" t="s">
        <v>47</v>
      </c>
      <c r="M169" s="11" t="s">
        <v>48</v>
      </c>
      <c r="N169" s="11" t="s">
        <v>49</v>
      </c>
      <c r="O169" s="11" t="s">
        <v>50</v>
      </c>
      <c r="P169" s="11" t="s">
        <v>51</v>
      </c>
      <c r="Q169" s="11" t="s">
        <v>52</v>
      </c>
      <c r="R169" s="11" t="s">
        <v>53</v>
      </c>
      <c r="S169" s="11" t="s">
        <v>54</v>
      </c>
      <c r="T169" s="11" t="s">
        <v>55</v>
      </c>
      <c r="U169" s="11" t="s">
        <v>56</v>
      </c>
      <c r="V169" s="11" t="s">
        <v>57</v>
      </c>
      <c r="W169" s="11" t="s">
        <v>58</v>
      </c>
      <c r="X169" s="11" t="s">
        <v>59</v>
      </c>
      <c r="Y169" s="11" t="s">
        <v>60</v>
      </c>
      <c r="Z169" s="11" t="s">
        <v>61</v>
      </c>
      <c r="AA169" s="11" t="s">
        <v>62</v>
      </c>
      <c r="AB169" s="11" t="s">
        <v>63</v>
      </c>
      <c r="AC169" s="11" t="s">
        <v>64</v>
      </c>
      <c r="AD169" s="11" t="s">
        <v>65</v>
      </c>
      <c r="AE169" s="11" t="s">
        <v>66</v>
      </c>
      <c r="AF169" s="11" t="s">
        <v>67</v>
      </c>
      <c r="AG169" s="11" t="s">
        <v>68</v>
      </c>
      <c r="AH169" s="11" t="s">
        <v>69</v>
      </c>
      <c r="AI169" s="11" t="s">
        <v>70</v>
      </c>
      <c r="AJ169" s="11" t="s">
        <v>71</v>
      </c>
      <c r="AK169" s="11" t="s">
        <v>72</v>
      </c>
      <c r="AL169" s="11" t="s">
        <v>73</v>
      </c>
      <c r="AM169" s="11" t="s">
        <v>74</v>
      </c>
      <c r="AN169" s="25"/>
      <c r="AO169" s="25"/>
    </row>
    <row r="170" spans="2:41" x14ac:dyDescent="0.2">
      <c r="B170" s="22" t="str">
        <f>'Wzorzec kategorii'!B132</f>
        <v>Siłownia / Basen</v>
      </c>
      <c r="C170" s="19">
        <v>0</v>
      </c>
      <c r="D170" s="20">
        <f>SUM(Tabela2649247[#This Row])</f>
        <v>0</v>
      </c>
      <c r="E170" s="20">
        <f t="shared" ref="E170:E179" si="19">C170-D170</f>
        <v>0</v>
      </c>
      <c r="F170" s="21" t="str">
        <f t="shared" ref="F170:F179" si="20">IFERROR(D170/C170,"")</f>
        <v/>
      </c>
      <c r="G170" s="24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25"/>
      <c r="AO170" s="25"/>
    </row>
    <row r="171" spans="2:41" x14ac:dyDescent="0.2">
      <c r="B171" s="22" t="str">
        <f>'Wzorzec kategorii'!B133</f>
        <v>Kino / Teatr</v>
      </c>
      <c r="C171" s="19">
        <v>0</v>
      </c>
      <c r="D171" s="20">
        <f>SUM(Tabela2649247[#This Row])</f>
        <v>0</v>
      </c>
      <c r="E171" s="20">
        <f t="shared" si="19"/>
        <v>0</v>
      </c>
      <c r="F171" s="21" t="str">
        <f t="shared" si="20"/>
        <v/>
      </c>
      <c r="G171" s="24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25"/>
      <c r="AO171" s="25"/>
    </row>
    <row r="172" spans="2:41" x14ac:dyDescent="0.2">
      <c r="B172" s="22" t="str">
        <f>'Wzorzec kategorii'!B134</f>
        <v>Koncerty</v>
      </c>
      <c r="C172" s="19">
        <v>0</v>
      </c>
      <c r="D172" s="20">
        <f>SUM(Tabela2649247[#This Row])</f>
        <v>0</v>
      </c>
      <c r="E172" s="20">
        <f t="shared" si="19"/>
        <v>0</v>
      </c>
      <c r="F172" s="21" t="str">
        <f t="shared" si="20"/>
        <v/>
      </c>
      <c r="G172" s="24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25"/>
      <c r="AO172" s="25"/>
    </row>
    <row r="173" spans="2:41" x14ac:dyDescent="0.2">
      <c r="B173" s="22" t="str">
        <f>'Wzorzec kategorii'!B135</f>
        <v>Czasopisma</v>
      </c>
      <c r="C173" s="19">
        <v>0</v>
      </c>
      <c r="D173" s="20">
        <f>SUM(Tabela2649247[#This Row])</f>
        <v>0</v>
      </c>
      <c r="E173" s="20">
        <f t="shared" si="19"/>
        <v>0</v>
      </c>
      <c r="F173" s="21" t="str">
        <f t="shared" si="20"/>
        <v/>
      </c>
      <c r="G173" s="24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25"/>
      <c r="AO173" s="25"/>
    </row>
    <row r="174" spans="2:41" x14ac:dyDescent="0.2">
      <c r="B174" s="22" t="str">
        <f>'Wzorzec kategorii'!B136</f>
        <v>Książki</v>
      </c>
      <c r="C174" s="19">
        <v>0</v>
      </c>
      <c r="D174" s="20">
        <f>SUM(Tabela2649247[#This Row])</f>
        <v>0</v>
      </c>
      <c r="E174" s="20">
        <f t="shared" si="19"/>
        <v>0</v>
      </c>
      <c r="F174" s="21" t="str">
        <f t="shared" si="20"/>
        <v/>
      </c>
      <c r="G174" s="24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25"/>
      <c r="AO174" s="25"/>
    </row>
    <row r="175" spans="2:41" x14ac:dyDescent="0.2">
      <c r="B175" s="22" t="str">
        <f>'Wzorzec kategorii'!B137</f>
        <v>Hobby</v>
      </c>
      <c r="C175" s="19">
        <v>0</v>
      </c>
      <c r="D175" s="20">
        <f>SUM(Tabela2649247[#This Row])</f>
        <v>0</v>
      </c>
      <c r="E175" s="20">
        <f t="shared" si="19"/>
        <v>0</v>
      </c>
      <c r="F175" s="21" t="str">
        <f t="shared" si="20"/>
        <v/>
      </c>
      <c r="G175" s="24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25"/>
      <c r="AO175" s="25"/>
    </row>
    <row r="176" spans="2:41" x14ac:dyDescent="0.2">
      <c r="B176" s="22" t="str">
        <f>'Wzorzec kategorii'!B138</f>
        <v>Hotel / Turystyka</v>
      </c>
      <c r="C176" s="19">
        <v>0</v>
      </c>
      <c r="D176" s="20">
        <f>SUM(Tabela2649247[#This Row])</f>
        <v>0</v>
      </c>
      <c r="E176" s="20">
        <f t="shared" si="19"/>
        <v>0</v>
      </c>
      <c r="F176" s="21" t="str">
        <f t="shared" si="20"/>
        <v/>
      </c>
      <c r="G176" s="24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25"/>
      <c r="AO176" s="25"/>
    </row>
    <row r="177" spans="2:41" x14ac:dyDescent="0.2">
      <c r="B177" s="22" t="str">
        <f>'Wzorzec kategorii'!B139</f>
        <v>Inne</v>
      </c>
      <c r="C177" s="19">
        <v>0</v>
      </c>
      <c r="D177" s="20">
        <f>SUM(Tabela2649247[#This Row])</f>
        <v>0</v>
      </c>
      <c r="E177" s="20">
        <f t="shared" si="19"/>
        <v>0</v>
      </c>
      <c r="F177" s="21" t="str">
        <f t="shared" si="20"/>
        <v/>
      </c>
      <c r="G177" s="24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25"/>
      <c r="AO177" s="25"/>
    </row>
    <row r="178" spans="2:41" x14ac:dyDescent="0.2">
      <c r="B178" s="22" t="str">
        <f>'Wzorzec kategorii'!B140</f>
        <v>.</v>
      </c>
      <c r="C178" s="19">
        <v>0</v>
      </c>
      <c r="D178" s="20">
        <f>SUM(Tabela2649247[#This Row])</f>
        <v>0</v>
      </c>
      <c r="E178" s="20">
        <f t="shared" si="19"/>
        <v>0</v>
      </c>
      <c r="F178" s="53" t="str">
        <f t="shared" si="20"/>
        <v/>
      </c>
      <c r="G178" s="54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25"/>
      <c r="AO178" s="25"/>
    </row>
    <row r="179" spans="2:41" x14ac:dyDescent="0.2">
      <c r="B179" s="22" t="str">
        <f>'Wzorzec kategorii'!B141</f>
        <v>.</v>
      </c>
      <c r="C179" s="19">
        <v>0</v>
      </c>
      <c r="D179" s="20">
        <f>SUM(Tabela2649247[#This Row])</f>
        <v>0</v>
      </c>
      <c r="E179" s="20">
        <f t="shared" si="19"/>
        <v>0</v>
      </c>
      <c r="F179" s="53" t="str">
        <f t="shared" si="20"/>
        <v/>
      </c>
      <c r="G179" s="54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25"/>
      <c r="AO179" s="25"/>
    </row>
    <row r="180" spans="2:41" x14ac:dyDescent="0.2">
      <c r="B180" s="5" t="s">
        <v>30</v>
      </c>
      <c r="AN180" s="25"/>
      <c r="AO180" s="25"/>
    </row>
    <row r="181" spans="2:41" x14ac:dyDescent="0.2">
      <c r="B181" s="2" t="str">
        <f>'Wzorzec kategorii'!B143</f>
        <v>Inne wydatki</v>
      </c>
      <c r="C181" s="3">
        <f>SUM(Tabela1438236[[#All],[Kolumna2]])</f>
        <v>0</v>
      </c>
      <c r="D181" s="16">
        <f>SUM(Tabela1438236[[#All],[Kolumna3]])</f>
        <v>0</v>
      </c>
      <c r="E181" s="3">
        <f>C181-D181</f>
        <v>0</v>
      </c>
      <c r="F181" s="17" t="str">
        <f>IFERROR(D181/C181,"")</f>
        <v/>
      </c>
      <c r="G181" s="3"/>
      <c r="I181" s="11" t="s">
        <v>44</v>
      </c>
      <c r="J181" s="11" t="s">
        <v>45</v>
      </c>
      <c r="K181" s="11" t="s">
        <v>46</v>
      </c>
      <c r="L181" s="11" t="s">
        <v>47</v>
      </c>
      <c r="M181" s="11" t="s">
        <v>48</v>
      </c>
      <c r="N181" s="11" t="s">
        <v>49</v>
      </c>
      <c r="O181" s="11" t="s">
        <v>50</v>
      </c>
      <c r="P181" s="11" t="s">
        <v>51</v>
      </c>
      <c r="Q181" s="11" t="s">
        <v>52</v>
      </c>
      <c r="R181" s="11" t="s">
        <v>53</v>
      </c>
      <c r="S181" s="11" t="s">
        <v>54</v>
      </c>
      <c r="T181" s="11" t="s">
        <v>55</v>
      </c>
      <c r="U181" s="11" t="s">
        <v>56</v>
      </c>
      <c r="V181" s="11" t="s">
        <v>57</v>
      </c>
      <c r="W181" s="11" t="s">
        <v>58</v>
      </c>
      <c r="X181" s="11" t="s">
        <v>59</v>
      </c>
      <c r="Y181" s="11" t="s">
        <v>60</v>
      </c>
      <c r="Z181" s="11" t="s">
        <v>61</v>
      </c>
      <c r="AA181" s="11" t="s">
        <v>62</v>
      </c>
      <c r="AB181" s="11" t="s">
        <v>63</v>
      </c>
      <c r="AC181" s="11" t="s">
        <v>64</v>
      </c>
      <c r="AD181" s="11" t="s">
        <v>65</v>
      </c>
      <c r="AE181" s="11" t="s">
        <v>66</v>
      </c>
      <c r="AF181" s="11" t="s">
        <v>67</v>
      </c>
      <c r="AG181" s="11" t="s">
        <v>68</v>
      </c>
      <c r="AH181" s="11" t="s">
        <v>69</v>
      </c>
      <c r="AI181" s="11" t="s">
        <v>70</v>
      </c>
      <c r="AJ181" s="11" t="s">
        <v>71</v>
      </c>
      <c r="AK181" s="11" t="s">
        <v>72</v>
      </c>
      <c r="AL181" s="11" t="s">
        <v>73</v>
      </c>
      <c r="AM181" s="11" t="s">
        <v>74</v>
      </c>
      <c r="AN181" s="25"/>
      <c r="AO181" s="25"/>
    </row>
    <row r="182" spans="2:41" x14ac:dyDescent="0.2">
      <c r="B182" s="22" t="str">
        <f>'Wzorzec kategorii'!B144</f>
        <v>Dobroczynność</v>
      </c>
      <c r="C182" s="19">
        <v>0</v>
      </c>
      <c r="D182" s="20">
        <f>SUM(Tabela2750248[#This Row])</f>
        <v>0</v>
      </c>
      <c r="E182" s="20">
        <f t="shared" ref="E182:E191" si="21">C182-D182</f>
        <v>0</v>
      </c>
      <c r="F182" s="21" t="str">
        <f t="shared" ref="F182:F191" si="22">IFERROR(D182/C182,"")</f>
        <v/>
      </c>
      <c r="G182" s="24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25"/>
      <c r="AO182" s="25"/>
    </row>
    <row r="183" spans="2:41" x14ac:dyDescent="0.2">
      <c r="B183" s="22" t="str">
        <f>'Wzorzec kategorii'!B145</f>
        <v>Prezenty</v>
      </c>
      <c r="C183" s="19">
        <v>0</v>
      </c>
      <c r="D183" s="20">
        <f>SUM(Tabela2750248[#This Row])</f>
        <v>0</v>
      </c>
      <c r="E183" s="20">
        <f t="shared" si="21"/>
        <v>0</v>
      </c>
      <c r="F183" s="21" t="str">
        <f t="shared" si="22"/>
        <v/>
      </c>
      <c r="G183" s="24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25"/>
      <c r="AO183" s="25"/>
    </row>
    <row r="184" spans="2:41" x14ac:dyDescent="0.2">
      <c r="B184" s="22" t="str">
        <f>'Wzorzec kategorii'!B146</f>
        <v>Sprzęt RTV</v>
      </c>
      <c r="C184" s="19">
        <v>0</v>
      </c>
      <c r="D184" s="20">
        <f>SUM(Tabela2750248[#This Row])</f>
        <v>0</v>
      </c>
      <c r="E184" s="20">
        <f t="shared" si="21"/>
        <v>0</v>
      </c>
      <c r="F184" s="21" t="str">
        <f t="shared" si="22"/>
        <v/>
      </c>
      <c r="G184" s="24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25"/>
      <c r="AO184" s="25"/>
    </row>
    <row r="185" spans="2:41" x14ac:dyDescent="0.2">
      <c r="B185" s="22" t="str">
        <f>'Wzorzec kategorii'!B147</f>
        <v>Oprogramowanie</v>
      </c>
      <c r="C185" s="19">
        <v>0</v>
      </c>
      <c r="D185" s="20">
        <f>SUM(Tabela2750248[#This Row])</f>
        <v>0</v>
      </c>
      <c r="E185" s="20">
        <f t="shared" si="21"/>
        <v>0</v>
      </c>
      <c r="F185" s="21" t="str">
        <f t="shared" si="22"/>
        <v/>
      </c>
      <c r="G185" s="24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25"/>
      <c r="AO185" s="25"/>
    </row>
    <row r="186" spans="2:41" x14ac:dyDescent="0.2">
      <c r="B186" s="22" t="str">
        <f>'Wzorzec kategorii'!B148</f>
        <v>Edukacja / Szkolenia</v>
      </c>
      <c r="C186" s="19">
        <v>0</v>
      </c>
      <c r="D186" s="20">
        <f>SUM(Tabela2750248[#This Row])</f>
        <v>0</v>
      </c>
      <c r="E186" s="20">
        <f t="shared" si="21"/>
        <v>0</v>
      </c>
      <c r="F186" s="21" t="str">
        <f t="shared" si="22"/>
        <v/>
      </c>
      <c r="G186" s="24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25"/>
      <c r="AO186" s="25"/>
    </row>
    <row r="187" spans="2:41" x14ac:dyDescent="0.2">
      <c r="B187" s="22" t="str">
        <f>'Wzorzec kategorii'!B149</f>
        <v>Usługi inne</v>
      </c>
      <c r="C187" s="19">
        <v>0</v>
      </c>
      <c r="D187" s="20">
        <f>SUM(Tabela2750248[#This Row])</f>
        <v>0</v>
      </c>
      <c r="E187" s="20">
        <f t="shared" si="21"/>
        <v>0</v>
      </c>
      <c r="F187" s="21" t="str">
        <f t="shared" si="22"/>
        <v/>
      </c>
      <c r="G187" s="24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25"/>
      <c r="AO187" s="25"/>
    </row>
    <row r="188" spans="2:41" x14ac:dyDescent="0.2">
      <c r="B188" s="22" t="str">
        <f>'Wzorzec kategorii'!B150</f>
        <v>Podatki</v>
      </c>
      <c r="C188" s="19">
        <v>0</v>
      </c>
      <c r="D188" s="20">
        <f>SUM(Tabela2750248[#This Row])</f>
        <v>0</v>
      </c>
      <c r="E188" s="20">
        <f t="shared" si="21"/>
        <v>0</v>
      </c>
      <c r="F188" s="21" t="str">
        <f t="shared" si="22"/>
        <v/>
      </c>
      <c r="G188" s="24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25"/>
      <c r="AO188" s="25"/>
    </row>
    <row r="189" spans="2:41" x14ac:dyDescent="0.2">
      <c r="B189" s="22" t="str">
        <f>'Wzorzec kategorii'!B151</f>
        <v>Inne</v>
      </c>
      <c r="C189" s="19">
        <v>0</v>
      </c>
      <c r="D189" s="20">
        <f>SUM(Tabela2750248[#This Row])</f>
        <v>0</v>
      </c>
      <c r="E189" s="20">
        <f t="shared" si="21"/>
        <v>0</v>
      </c>
      <c r="F189" s="21" t="str">
        <f t="shared" si="22"/>
        <v/>
      </c>
      <c r="G189" s="24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25"/>
      <c r="AO189" s="25"/>
    </row>
    <row r="190" spans="2:41" x14ac:dyDescent="0.2">
      <c r="B190" s="22" t="str">
        <f>'Wzorzec kategorii'!B152</f>
        <v>.</v>
      </c>
      <c r="C190" s="19">
        <v>0</v>
      </c>
      <c r="D190" s="20">
        <f>SUM(Tabela2750248[#This Row])</f>
        <v>0</v>
      </c>
      <c r="E190" s="20">
        <f t="shared" si="21"/>
        <v>0</v>
      </c>
      <c r="F190" s="53" t="str">
        <f t="shared" si="22"/>
        <v/>
      </c>
      <c r="G190" s="54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25"/>
      <c r="AO190" s="25"/>
    </row>
    <row r="191" spans="2:41" x14ac:dyDescent="0.2">
      <c r="B191" s="22" t="str">
        <f>'Wzorzec kategorii'!B153</f>
        <v>.</v>
      </c>
      <c r="C191" s="19">
        <v>0</v>
      </c>
      <c r="D191" s="20">
        <f>SUM(Tabela2750248[#This Row])</f>
        <v>0</v>
      </c>
      <c r="E191" s="20">
        <f t="shared" si="21"/>
        <v>0</v>
      </c>
      <c r="F191" s="53" t="str">
        <f t="shared" si="22"/>
        <v/>
      </c>
      <c r="G191" s="54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25"/>
      <c r="AO191" s="25"/>
    </row>
    <row r="192" spans="2:41" x14ac:dyDescent="0.2">
      <c r="B192" s="5" t="s">
        <v>30</v>
      </c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</row>
    <row r="193" spans="2:41" x14ac:dyDescent="0.2">
      <c r="B193" s="2" t="str">
        <f>'Wzorzec kategorii'!B155</f>
        <v>Spłata długów</v>
      </c>
      <c r="C193" s="3">
        <f>SUM(Tabela1539237[[#All],[Kolumna2]])</f>
        <v>0</v>
      </c>
      <c r="D193" s="16">
        <f>SUM(Tabela1539237[[#All],[Kolumna3]])</f>
        <v>0</v>
      </c>
      <c r="E193" s="3">
        <f>C193-D193</f>
        <v>0</v>
      </c>
      <c r="F193" s="17" t="str">
        <f>IFERROR(D193/C193,"")</f>
        <v/>
      </c>
      <c r="G193" s="3"/>
      <c r="I193" s="11" t="s">
        <v>44</v>
      </c>
      <c r="J193" s="11" t="s">
        <v>45</v>
      </c>
      <c r="K193" s="11" t="s">
        <v>46</v>
      </c>
      <c r="L193" s="11" t="s">
        <v>47</v>
      </c>
      <c r="M193" s="11" t="s">
        <v>48</v>
      </c>
      <c r="N193" s="11" t="s">
        <v>49</v>
      </c>
      <c r="O193" s="11" t="s">
        <v>50</v>
      </c>
      <c r="P193" s="11" t="s">
        <v>51</v>
      </c>
      <c r="Q193" s="11" t="s">
        <v>52</v>
      </c>
      <c r="R193" s="11" t="s">
        <v>53</v>
      </c>
      <c r="S193" s="11" t="s">
        <v>54</v>
      </c>
      <c r="T193" s="11" t="s">
        <v>55</v>
      </c>
      <c r="U193" s="11" t="s">
        <v>56</v>
      </c>
      <c r="V193" s="11" t="s">
        <v>57</v>
      </c>
      <c r="W193" s="11" t="s">
        <v>58</v>
      </c>
      <c r="X193" s="11" t="s">
        <v>59</v>
      </c>
      <c r="Y193" s="11" t="s">
        <v>60</v>
      </c>
      <c r="Z193" s="11" t="s">
        <v>61</v>
      </c>
      <c r="AA193" s="11" t="s">
        <v>62</v>
      </c>
      <c r="AB193" s="11" t="s">
        <v>63</v>
      </c>
      <c r="AC193" s="11" t="s">
        <v>64</v>
      </c>
      <c r="AD193" s="11" t="s">
        <v>65</v>
      </c>
      <c r="AE193" s="11" t="s">
        <v>66</v>
      </c>
      <c r="AF193" s="11" t="s">
        <v>67</v>
      </c>
      <c r="AG193" s="11" t="s">
        <v>68</v>
      </c>
      <c r="AH193" s="11" t="s">
        <v>69</v>
      </c>
      <c r="AI193" s="11" t="s">
        <v>70</v>
      </c>
      <c r="AJ193" s="11" t="s">
        <v>71</v>
      </c>
      <c r="AK193" s="11" t="s">
        <v>72</v>
      </c>
      <c r="AL193" s="11" t="s">
        <v>73</v>
      </c>
      <c r="AM193" s="11" t="s">
        <v>74</v>
      </c>
      <c r="AN193" s="25"/>
      <c r="AO193" s="25"/>
    </row>
    <row r="194" spans="2:41" x14ac:dyDescent="0.2">
      <c r="B194" s="22" t="str">
        <f>'Wzorzec kategorii'!B156</f>
        <v>Kredyt hipoteczny</v>
      </c>
      <c r="C194" s="19">
        <v>0</v>
      </c>
      <c r="D194" s="20">
        <f>SUM(Tabela2851249[#This Row])</f>
        <v>0</v>
      </c>
      <c r="E194" s="20">
        <f t="shared" ref="E194:E203" si="23">C194-D194</f>
        <v>0</v>
      </c>
      <c r="F194" s="21" t="str">
        <f t="shared" ref="F194:F203" si="24">IFERROR(D194/C194,"")</f>
        <v/>
      </c>
      <c r="G194" s="24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25"/>
      <c r="AO194" s="25"/>
    </row>
    <row r="195" spans="2:41" x14ac:dyDescent="0.2">
      <c r="B195" s="22" t="str">
        <f>'Wzorzec kategorii'!B157</f>
        <v>Kredyt konsumpcyjny</v>
      </c>
      <c r="C195" s="19">
        <v>0</v>
      </c>
      <c r="D195" s="20">
        <f>SUM(Tabela2851249[#This Row])</f>
        <v>0</v>
      </c>
      <c r="E195" s="20">
        <f t="shared" si="23"/>
        <v>0</v>
      </c>
      <c r="F195" s="21" t="str">
        <f t="shared" si="24"/>
        <v/>
      </c>
      <c r="G195" s="24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25"/>
      <c r="AO195" s="25"/>
    </row>
    <row r="196" spans="2:41" x14ac:dyDescent="0.2">
      <c r="B196" s="22" t="str">
        <f>'Wzorzec kategorii'!B158</f>
        <v>Pożyczka osobista</v>
      </c>
      <c r="C196" s="19">
        <v>0</v>
      </c>
      <c r="D196" s="20">
        <f>SUM(Tabela2851249[#This Row])</f>
        <v>0</v>
      </c>
      <c r="E196" s="20">
        <f t="shared" si="23"/>
        <v>0</v>
      </c>
      <c r="F196" s="21" t="str">
        <f t="shared" si="24"/>
        <v/>
      </c>
      <c r="G196" s="24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25"/>
      <c r="AO196" s="25"/>
    </row>
    <row r="197" spans="2:41" x14ac:dyDescent="0.2">
      <c r="B197" s="22" t="str">
        <f>'Wzorzec kategorii'!B159</f>
        <v>Inne</v>
      </c>
      <c r="C197" s="19">
        <v>0</v>
      </c>
      <c r="D197" s="20">
        <f>SUM(Tabela2851249[#This Row])</f>
        <v>0</v>
      </c>
      <c r="E197" s="20">
        <f t="shared" si="23"/>
        <v>0</v>
      </c>
      <c r="F197" s="21" t="str">
        <f t="shared" si="24"/>
        <v/>
      </c>
      <c r="G197" s="24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25"/>
      <c r="AO197" s="25"/>
    </row>
    <row r="198" spans="2:41" x14ac:dyDescent="0.2">
      <c r="B198" s="22" t="str">
        <f>'Wzorzec kategorii'!B160</f>
        <v>.</v>
      </c>
      <c r="C198" s="19">
        <v>0</v>
      </c>
      <c r="D198" s="20">
        <f>SUM(Tabela2851249[#This Row])</f>
        <v>0</v>
      </c>
      <c r="E198" s="20">
        <f t="shared" si="23"/>
        <v>0</v>
      </c>
      <c r="F198" s="21" t="str">
        <f t="shared" si="24"/>
        <v/>
      </c>
      <c r="G198" s="24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25"/>
      <c r="AO198" s="25"/>
    </row>
    <row r="199" spans="2:41" x14ac:dyDescent="0.2">
      <c r="B199" s="22" t="str">
        <f>'Wzorzec kategorii'!B161</f>
        <v>.</v>
      </c>
      <c r="C199" s="19">
        <v>0</v>
      </c>
      <c r="D199" s="20">
        <f>SUM(Tabela2851249[#This Row])</f>
        <v>0</v>
      </c>
      <c r="E199" s="20">
        <f t="shared" si="23"/>
        <v>0</v>
      </c>
      <c r="F199" s="21" t="str">
        <f t="shared" si="24"/>
        <v/>
      </c>
      <c r="G199" s="24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25"/>
      <c r="AO199" s="25"/>
    </row>
    <row r="200" spans="2:41" x14ac:dyDescent="0.2">
      <c r="B200" s="22" t="str">
        <f>'Wzorzec kategorii'!B162</f>
        <v>.</v>
      </c>
      <c r="C200" s="19">
        <v>0</v>
      </c>
      <c r="D200" s="20">
        <f>SUM(Tabela2851249[#This Row])</f>
        <v>0</v>
      </c>
      <c r="E200" s="20">
        <f t="shared" si="23"/>
        <v>0</v>
      </c>
      <c r="F200" s="53" t="str">
        <f t="shared" si="24"/>
        <v/>
      </c>
      <c r="G200" s="54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25"/>
      <c r="AO200" s="25"/>
    </row>
    <row r="201" spans="2:41" x14ac:dyDescent="0.2">
      <c r="B201" s="22" t="str">
        <f>'Wzorzec kategorii'!B163</f>
        <v>.</v>
      </c>
      <c r="C201" s="19">
        <v>0</v>
      </c>
      <c r="D201" s="20">
        <f>SUM(Tabela2851249[#This Row])</f>
        <v>0</v>
      </c>
      <c r="E201" s="20">
        <f t="shared" si="23"/>
        <v>0</v>
      </c>
      <c r="F201" s="53" t="str">
        <f t="shared" si="24"/>
        <v/>
      </c>
      <c r="G201" s="54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25"/>
      <c r="AO201" s="25"/>
    </row>
    <row r="202" spans="2:41" x14ac:dyDescent="0.2">
      <c r="B202" s="22" t="str">
        <f>'Wzorzec kategorii'!B164</f>
        <v>.</v>
      </c>
      <c r="C202" s="19">
        <v>0</v>
      </c>
      <c r="D202" s="20">
        <f>SUM(Tabela2851249[#This Row])</f>
        <v>0</v>
      </c>
      <c r="E202" s="20">
        <f t="shared" si="23"/>
        <v>0</v>
      </c>
      <c r="F202" s="53" t="str">
        <f t="shared" si="24"/>
        <v/>
      </c>
      <c r="G202" s="54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25"/>
      <c r="AO202" s="25"/>
    </row>
    <row r="203" spans="2:41" x14ac:dyDescent="0.2">
      <c r="B203" s="22" t="str">
        <f>'Wzorzec kategorii'!B165</f>
        <v>.</v>
      </c>
      <c r="C203" s="19">
        <v>0</v>
      </c>
      <c r="D203" s="20">
        <f>SUM(Tabela2851249[#This Row])</f>
        <v>0</v>
      </c>
      <c r="E203" s="20">
        <f t="shared" si="23"/>
        <v>0</v>
      </c>
      <c r="F203" s="53" t="str">
        <f t="shared" si="24"/>
        <v/>
      </c>
      <c r="G203" s="54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25"/>
      <c r="AO203" s="25"/>
    </row>
    <row r="204" spans="2:41" x14ac:dyDescent="0.2">
      <c r="B204" s="5" t="s">
        <v>30</v>
      </c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</row>
    <row r="205" spans="2:41" x14ac:dyDescent="0.2">
      <c r="B205" s="2" t="str">
        <f>'Wzorzec kategorii'!B167</f>
        <v>Budowanie oszczędności</v>
      </c>
      <c r="C205" s="3">
        <f>SUM(Tabela1640238[[#All],[Kolumna2]])</f>
        <v>0</v>
      </c>
      <c r="D205" s="16">
        <f>SUM(Tabela1640238[[#All],[Kolumna3]])</f>
        <v>0</v>
      </c>
      <c r="E205" s="3">
        <f>C205-D205</f>
        <v>0</v>
      </c>
      <c r="F205" s="17" t="str">
        <f>IFERROR(D205/C205,"")</f>
        <v/>
      </c>
      <c r="G205" s="3"/>
      <c r="I205" s="11" t="s">
        <v>44</v>
      </c>
      <c r="J205" s="11" t="s">
        <v>45</v>
      </c>
      <c r="K205" s="11" t="s">
        <v>46</v>
      </c>
      <c r="L205" s="11" t="s">
        <v>47</v>
      </c>
      <c r="M205" s="11" t="s">
        <v>48</v>
      </c>
      <c r="N205" s="11" t="s">
        <v>49</v>
      </c>
      <c r="O205" s="11" t="s">
        <v>50</v>
      </c>
      <c r="P205" s="11" t="s">
        <v>51</v>
      </c>
      <c r="Q205" s="11" t="s">
        <v>52</v>
      </c>
      <c r="R205" s="11" t="s">
        <v>53</v>
      </c>
      <c r="S205" s="11" t="s">
        <v>54</v>
      </c>
      <c r="T205" s="11" t="s">
        <v>55</v>
      </c>
      <c r="U205" s="11" t="s">
        <v>56</v>
      </c>
      <c r="V205" s="11" t="s">
        <v>57</v>
      </c>
      <c r="W205" s="11" t="s">
        <v>58</v>
      </c>
      <c r="X205" s="11" t="s">
        <v>59</v>
      </c>
      <c r="Y205" s="11" t="s">
        <v>60</v>
      </c>
      <c r="Z205" s="11" t="s">
        <v>61</v>
      </c>
      <c r="AA205" s="11" t="s">
        <v>62</v>
      </c>
      <c r="AB205" s="11" t="s">
        <v>63</v>
      </c>
      <c r="AC205" s="11" t="s">
        <v>64</v>
      </c>
      <c r="AD205" s="11" t="s">
        <v>65</v>
      </c>
      <c r="AE205" s="11" t="s">
        <v>66</v>
      </c>
      <c r="AF205" s="11" t="s">
        <v>67</v>
      </c>
      <c r="AG205" s="11" t="s">
        <v>68</v>
      </c>
      <c r="AH205" s="11" t="s">
        <v>69</v>
      </c>
      <c r="AI205" s="11" t="s">
        <v>70</v>
      </c>
      <c r="AJ205" s="11" t="s">
        <v>71</v>
      </c>
      <c r="AK205" s="11" t="s">
        <v>72</v>
      </c>
      <c r="AL205" s="11" t="s">
        <v>73</v>
      </c>
      <c r="AM205" s="11" t="s">
        <v>74</v>
      </c>
      <c r="AN205" s="25"/>
      <c r="AO205" s="25"/>
    </row>
    <row r="206" spans="2:41" x14ac:dyDescent="0.2">
      <c r="B206" s="22" t="str">
        <f>'Wzorzec kategorii'!B168</f>
        <v>Fundusz awaryjny</v>
      </c>
      <c r="C206" s="19">
        <v>0</v>
      </c>
      <c r="D206" s="20">
        <f>SUM(Tabela192345243[#This Row])</f>
        <v>0</v>
      </c>
      <c r="E206" s="20">
        <f t="shared" ref="E206:E215" si="25">C206-D206</f>
        <v>0</v>
      </c>
      <c r="F206" s="21" t="str">
        <f t="shared" ref="F206:F215" si="26">IFERROR(D206/C206,"")</f>
        <v/>
      </c>
      <c r="G206" s="24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25"/>
      <c r="AO206" s="25"/>
    </row>
    <row r="207" spans="2:41" ht="30" x14ac:dyDescent="0.2">
      <c r="B207" s="22" t="str">
        <f>'Wzorzec kategorii'!B169</f>
        <v>Fundusz wydatków nieregularnych</v>
      </c>
      <c r="C207" s="19">
        <v>0</v>
      </c>
      <c r="D207" s="20">
        <f>SUM(Tabela192345243[#This Row])</f>
        <v>0</v>
      </c>
      <c r="E207" s="20">
        <f t="shared" si="25"/>
        <v>0</v>
      </c>
      <c r="F207" s="21" t="str">
        <f t="shared" si="26"/>
        <v/>
      </c>
      <c r="G207" s="24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25"/>
      <c r="AO207" s="25"/>
    </row>
    <row r="208" spans="2:41" x14ac:dyDescent="0.2">
      <c r="B208" s="22" t="str">
        <f>'Wzorzec kategorii'!B170</f>
        <v>Poduszka finansowa</v>
      </c>
      <c r="C208" s="19">
        <v>0</v>
      </c>
      <c r="D208" s="20">
        <f>SUM(Tabela192345243[#This Row])</f>
        <v>0</v>
      </c>
      <c r="E208" s="20">
        <f t="shared" si="25"/>
        <v>0</v>
      </c>
      <c r="F208" s="21" t="str">
        <f t="shared" si="26"/>
        <v/>
      </c>
      <c r="G208" s="24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25"/>
      <c r="AO208" s="25"/>
    </row>
    <row r="209" spans="2:41" x14ac:dyDescent="0.2">
      <c r="B209" s="22" t="str">
        <f>'Wzorzec kategorii'!B171</f>
        <v>Konto emerytalne IKE/IKZE</v>
      </c>
      <c r="C209" s="19">
        <v>0</v>
      </c>
      <c r="D209" s="20">
        <f>SUM(Tabela192345243[#This Row])</f>
        <v>0</v>
      </c>
      <c r="E209" s="20">
        <f t="shared" si="25"/>
        <v>0</v>
      </c>
      <c r="F209" s="21" t="str">
        <f t="shared" si="26"/>
        <v/>
      </c>
      <c r="G209" s="24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25"/>
      <c r="AO209" s="25"/>
    </row>
    <row r="210" spans="2:41" x14ac:dyDescent="0.2">
      <c r="B210" s="22" t="str">
        <f>'Wzorzec kategorii'!B172</f>
        <v>Nadpłata długów</v>
      </c>
      <c r="C210" s="19">
        <v>0</v>
      </c>
      <c r="D210" s="20">
        <f>SUM(Tabela192345243[#This Row])</f>
        <v>0</v>
      </c>
      <c r="E210" s="20">
        <f t="shared" si="25"/>
        <v>0</v>
      </c>
      <c r="F210" s="21" t="str">
        <f t="shared" si="26"/>
        <v/>
      </c>
      <c r="G210" s="24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25"/>
      <c r="AO210" s="25"/>
    </row>
    <row r="211" spans="2:41" x14ac:dyDescent="0.2">
      <c r="B211" s="22" t="str">
        <f>'Wzorzec kategorii'!B173</f>
        <v>Fundusz: wakacje</v>
      </c>
      <c r="C211" s="19">
        <v>0</v>
      </c>
      <c r="D211" s="20">
        <f>SUM(Tabela192345243[#This Row])</f>
        <v>0</v>
      </c>
      <c r="E211" s="20">
        <f t="shared" si="25"/>
        <v>0</v>
      </c>
      <c r="F211" s="21" t="str">
        <f t="shared" si="26"/>
        <v/>
      </c>
      <c r="G211" s="24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25"/>
      <c r="AO211" s="25"/>
    </row>
    <row r="212" spans="2:41" x14ac:dyDescent="0.2">
      <c r="B212" s="22" t="str">
        <f>'Wzorzec kategorii'!B174</f>
        <v>Fundusz: prezenty świąteczne</v>
      </c>
      <c r="C212" s="19">
        <v>0</v>
      </c>
      <c r="D212" s="20">
        <f>SUM(Tabela192345243[#This Row])</f>
        <v>0</v>
      </c>
      <c r="E212" s="20">
        <f t="shared" si="25"/>
        <v>0</v>
      </c>
      <c r="F212" s="21" t="str">
        <f t="shared" si="26"/>
        <v/>
      </c>
      <c r="G212" s="24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25"/>
      <c r="AO212" s="25"/>
    </row>
    <row r="213" spans="2:41" x14ac:dyDescent="0.2">
      <c r="B213" s="22" t="str">
        <f>'Wzorzec kategorii'!B175</f>
        <v>Inne</v>
      </c>
      <c r="C213" s="19">
        <v>0</v>
      </c>
      <c r="D213" s="20">
        <f>SUM(Tabela192345243[#This Row])</f>
        <v>0</v>
      </c>
      <c r="E213" s="20">
        <f t="shared" si="25"/>
        <v>0</v>
      </c>
      <c r="F213" s="21" t="str">
        <f t="shared" si="26"/>
        <v/>
      </c>
      <c r="G213" s="24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25"/>
      <c r="AO213" s="25"/>
    </row>
    <row r="214" spans="2:41" x14ac:dyDescent="0.2">
      <c r="B214" s="22" t="str">
        <f>'Wzorzec kategorii'!B176</f>
        <v>.</v>
      </c>
      <c r="C214" s="19">
        <v>0</v>
      </c>
      <c r="D214" s="20">
        <f>SUM(Tabela192345243[#This Row])</f>
        <v>0</v>
      </c>
      <c r="E214" s="20">
        <f t="shared" si="25"/>
        <v>0</v>
      </c>
      <c r="F214" s="53" t="str">
        <f t="shared" si="26"/>
        <v/>
      </c>
      <c r="G214" s="54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25"/>
      <c r="AO214" s="25"/>
    </row>
    <row r="215" spans="2:41" x14ac:dyDescent="0.2">
      <c r="B215" s="22" t="str">
        <f>'Wzorzec kategorii'!B177</f>
        <v>.</v>
      </c>
      <c r="C215" s="19">
        <v>0</v>
      </c>
      <c r="D215" s="20">
        <f>SUM(Tabela192345243[#This Row])</f>
        <v>0</v>
      </c>
      <c r="E215" s="20">
        <f t="shared" si="25"/>
        <v>0</v>
      </c>
      <c r="F215" s="53" t="str">
        <f t="shared" si="26"/>
        <v/>
      </c>
      <c r="G215" s="54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25"/>
      <c r="AO215" s="25"/>
    </row>
    <row r="216" spans="2:41" x14ac:dyDescent="0.2"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</row>
    <row r="217" spans="2:41" x14ac:dyDescent="0.2">
      <c r="B217" s="2" t="str">
        <f>'Wzorzec kategorii'!B179</f>
        <v>INNE 1</v>
      </c>
      <c r="C217" s="3">
        <f>SUM(Tabela164058250[[#All],[Kolumna2]])</f>
        <v>0</v>
      </c>
      <c r="D217" s="16">
        <f>SUM(Tabela164058250[[#All],[Kolumna3]])</f>
        <v>0</v>
      </c>
      <c r="E217" s="3">
        <f>C217-D217</f>
        <v>0</v>
      </c>
      <c r="F217" s="17" t="str">
        <f>IFERROR(D217/C217,"")</f>
        <v/>
      </c>
      <c r="G217" s="3"/>
      <c r="I217" s="11" t="s">
        <v>44</v>
      </c>
      <c r="J217" s="11" t="s">
        <v>45</v>
      </c>
      <c r="K217" s="11" t="s">
        <v>46</v>
      </c>
      <c r="L217" s="11" t="s">
        <v>47</v>
      </c>
      <c r="M217" s="11" t="s">
        <v>48</v>
      </c>
      <c r="N217" s="11" t="s">
        <v>49</v>
      </c>
      <c r="O217" s="11" t="s">
        <v>50</v>
      </c>
      <c r="P217" s="11" t="s">
        <v>51</v>
      </c>
      <c r="Q217" s="11" t="s">
        <v>52</v>
      </c>
      <c r="R217" s="11" t="s">
        <v>53</v>
      </c>
      <c r="S217" s="11" t="s">
        <v>54</v>
      </c>
      <c r="T217" s="11" t="s">
        <v>55</v>
      </c>
      <c r="U217" s="11" t="s">
        <v>56</v>
      </c>
      <c r="V217" s="11" t="s">
        <v>57</v>
      </c>
      <c r="W217" s="11" t="s">
        <v>58</v>
      </c>
      <c r="X217" s="11" t="s">
        <v>59</v>
      </c>
      <c r="Y217" s="11" t="s">
        <v>60</v>
      </c>
      <c r="Z217" s="11" t="s">
        <v>61</v>
      </c>
      <c r="AA217" s="11" t="s">
        <v>62</v>
      </c>
      <c r="AB217" s="11" t="s">
        <v>63</v>
      </c>
      <c r="AC217" s="11" t="s">
        <v>64</v>
      </c>
      <c r="AD217" s="11" t="s">
        <v>65</v>
      </c>
      <c r="AE217" s="11" t="s">
        <v>66</v>
      </c>
      <c r="AF217" s="11" t="s">
        <v>67</v>
      </c>
      <c r="AG217" s="11" t="s">
        <v>68</v>
      </c>
      <c r="AH217" s="11" t="s">
        <v>69</v>
      </c>
      <c r="AI217" s="11" t="s">
        <v>70</v>
      </c>
      <c r="AJ217" s="11" t="s">
        <v>71</v>
      </c>
      <c r="AK217" s="11" t="s">
        <v>72</v>
      </c>
      <c r="AL217" s="11" t="s">
        <v>73</v>
      </c>
      <c r="AM217" s="11" t="s">
        <v>74</v>
      </c>
    </row>
    <row r="218" spans="2:41" x14ac:dyDescent="0.2">
      <c r="B218" s="22" t="str">
        <f>'Wzorzec kategorii'!B180</f>
        <v>.</v>
      </c>
      <c r="C218" s="19">
        <v>0</v>
      </c>
      <c r="D218" s="20">
        <f>SUM(Tabela19234559251[#This Row])</f>
        <v>0</v>
      </c>
      <c r="E218" s="20">
        <f t="shared" ref="E218:E227" si="27">C218-D218</f>
        <v>0</v>
      </c>
      <c r="F218" s="21" t="str">
        <f t="shared" ref="F218:F227" si="28">IFERROR(D218/C218,"")</f>
        <v/>
      </c>
      <c r="G218" s="24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2:41" x14ac:dyDescent="0.2">
      <c r="B219" s="22" t="str">
        <f>'Wzorzec kategorii'!B181</f>
        <v>.</v>
      </c>
      <c r="C219" s="19">
        <v>0</v>
      </c>
      <c r="D219" s="20">
        <f>SUM(Tabela19234559251[#This Row])</f>
        <v>0</v>
      </c>
      <c r="E219" s="20">
        <f t="shared" si="27"/>
        <v>0</v>
      </c>
      <c r="F219" s="21" t="str">
        <f t="shared" si="28"/>
        <v/>
      </c>
      <c r="G219" s="24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 spans="2:41" x14ac:dyDescent="0.2">
      <c r="B220" s="22" t="str">
        <f>'Wzorzec kategorii'!B182</f>
        <v>.</v>
      </c>
      <c r="C220" s="19">
        <v>0</v>
      </c>
      <c r="D220" s="20">
        <f>SUM(Tabela19234559251[#This Row])</f>
        <v>0</v>
      </c>
      <c r="E220" s="20">
        <f t="shared" si="27"/>
        <v>0</v>
      </c>
      <c r="F220" s="21" t="str">
        <f t="shared" si="28"/>
        <v/>
      </c>
      <c r="G220" s="24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 spans="2:41" x14ac:dyDescent="0.2">
      <c r="B221" s="22" t="str">
        <f>'Wzorzec kategorii'!B183</f>
        <v>.</v>
      </c>
      <c r="C221" s="19">
        <v>0</v>
      </c>
      <c r="D221" s="20">
        <f>SUM(Tabela19234559251[#This Row])</f>
        <v>0</v>
      </c>
      <c r="E221" s="20">
        <f t="shared" si="27"/>
        <v>0</v>
      </c>
      <c r="F221" s="21" t="str">
        <f t="shared" si="28"/>
        <v/>
      </c>
      <c r="G221" s="24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 spans="2:41" x14ac:dyDescent="0.2">
      <c r="B222" s="22" t="str">
        <f>'Wzorzec kategorii'!B184</f>
        <v>.</v>
      </c>
      <c r="C222" s="19">
        <v>0</v>
      </c>
      <c r="D222" s="20">
        <f>SUM(Tabela19234559251[#This Row])</f>
        <v>0</v>
      </c>
      <c r="E222" s="20">
        <f t="shared" si="27"/>
        <v>0</v>
      </c>
      <c r="F222" s="21" t="str">
        <f t="shared" si="28"/>
        <v/>
      </c>
      <c r="G222" s="24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</row>
    <row r="223" spans="2:41" x14ac:dyDescent="0.2">
      <c r="B223" s="22" t="str">
        <f>'Wzorzec kategorii'!B185</f>
        <v>.</v>
      </c>
      <c r="C223" s="19">
        <v>0</v>
      </c>
      <c r="D223" s="20">
        <f>SUM(Tabela19234559251[#This Row])</f>
        <v>0</v>
      </c>
      <c r="E223" s="20">
        <f t="shared" si="27"/>
        <v>0</v>
      </c>
      <c r="F223" s="21" t="str">
        <f t="shared" si="28"/>
        <v/>
      </c>
      <c r="G223" s="24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</row>
    <row r="224" spans="2:41" x14ac:dyDescent="0.2">
      <c r="B224" s="22" t="str">
        <f>'Wzorzec kategorii'!B186</f>
        <v>.</v>
      </c>
      <c r="C224" s="19">
        <v>0</v>
      </c>
      <c r="D224" s="20">
        <f>SUM(Tabela19234559251[#This Row])</f>
        <v>0</v>
      </c>
      <c r="E224" s="20">
        <f t="shared" si="27"/>
        <v>0</v>
      </c>
      <c r="F224" s="21" t="str">
        <f t="shared" si="28"/>
        <v/>
      </c>
      <c r="G224" s="24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2:39" x14ac:dyDescent="0.2">
      <c r="B225" s="22" t="str">
        <f>'Wzorzec kategorii'!B187</f>
        <v>.</v>
      </c>
      <c r="C225" s="19">
        <v>0</v>
      </c>
      <c r="D225" s="20">
        <f>SUM(Tabela19234559251[#This Row])</f>
        <v>0</v>
      </c>
      <c r="E225" s="20">
        <f t="shared" si="27"/>
        <v>0</v>
      </c>
      <c r="F225" s="21" t="str">
        <f t="shared" si="28"/>
        <v/>
      </c>
      <c r="G225" s="24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 spans="2:39" x14ac:dyDescent="0.2">
      <c r="B226" s="22" t="str">
        <f>'Wzorzec kategorii'!B188</f>
        <v>.</v>
      </c>
      <c r="C226" s="19">
        <v>0</v>
      </c>
      <c r="D226" s="20">
        <f>SUM(Tabela19234559251[#This Row])</f>
        <v>0</v>
      </c>
      <c r="E226" s="20">
        <f t="shared" si="27"/>
        <v>0</v>
      </c>
      <c r="F226" s="53" t="str">
        <f t="shared" si="28"/>
        <v/>
      </c>
      <c r="G226" s="54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</row>
    <row r="227" spans="2:39" x14ac:dyDescent="0.2">
      <c r="B227" s="22" t="str">
        <f>'Wzorzec kategorii'!B189</f>
        <v>.</v>
      </c>
      <c r="C227" s="19">
        <v>0</v>
      </c>
      <c r="D227" s="20">
        <f>SUM(Tabela19234559251[#This Row])</f>
        <v>0</v>
      </c>
      <c r="E227" s="20">
        <f t="shared" si="27"/>
        <v>0</v>
      </c>
      <c r="F227" s="53" t="str">
        <f t="shared" si="28"/>
        <v/>
      </c>
      <c r="G227" s="54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</row>
    <row r="228" spans="2:39" x14ac:dyDescent="0.2"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</row>
    <row r="229" spans="2:39" x14ac:dyDescent="0.2">
      <c r="B229" s="2" t="str">
        <f>'Wzorzec kategorii'!B191</f>
        <v>INNE 2</v>
      </c>
      <c r="C229" s="3">
        <f>SUM(Tabela16405860252[[#All],[Kolumna2]])</f>
        <v>0</v>
      </c>
      <c r="D229" s="16">
        <f>SUM(Tabela16405860252[[#All],[Kolumna3]])</f>
        <v>0</v>
      </c>
      <c r="E229" s="3">
        <f>C229-D229</f>
        <v>0</v>
      </c>
      <c r="F229" s="17" t="str">
        <f>IFERROR(D229/C229,"")</f>
        <v/>
      </c>
      <c r="G229" s="3"/>
      <c r="I229" s="11" t="s">
        <v>44</v>
      </c>
      <c r="J229" s="11" t="s">
        <v>45</v>
      </c>
      <c r="K229" s="11" t="s">
        <v>46</v>
      </c>
      <c r="L229" s="11" t="s">
        <v>47</v>
      </c>
      <c r="M229" s="11" t="s">
        <v>48</v>
      </c>
      <c r="N229" s="11" t="s">
        <v>49</v>
      </c>
      <c r="O229" s="11" t="s">
        <v>50</v>
      </c>
      <c r="P229" s="11" t="s">
        <v>51</v>
      </c>
      <c r="Q229" s="11" t="s">
        <v>52</v>
      </c>
      <c r="R229" s="11" t="s">
        <v>53</v>
      </c>
      <c r="S229" s="11" t="s">
        <v>54</v>
      </c>
      <c r="T229" s="11" t="s">
        <v>55</v>
      </c>
      <c r="U229" s="11" t="s">
        <v>56</v>
      </c>
      <c r="V229" s="11" t="s">
        <v>57</v>
      </c>
      <c r="W229" s="11" t="s">
        <v>58</v>
      </c>
      <c r="X229" s="11" t="s">
        <v>59</v>
      </c>
      <c r="Y229" s="11" t="s">
        <v>60</v>
      </c>
      <c r="Z229" s="11" t="s">
        <v>61</v>
      </c>
      <c r="AA229" s="11" t="s">
        <v>62</v>
      </c>
      <c r="AB229" s="11" t="s">
        <v>63</v>
      </c>
      <c r="AC229" s="11" t="s">
        <v>64</v>
      </c>
      <c r="AD229" s="11" t="s">
        <v>65</v>
      </c>
      <c r="AE229" s="11" t="s">
        <v>66</v>
      </c>
      <c r="AF229" s="11" t="s">
        <v>67</v>
      </c>
      <c r="AG229" s="11" t="s">
        <v>68</v>
      </c>
      <c r="AH229" s="11" t="s">
        <v>69</v>
      </c>
      <c r="AI229" s="11" t="s">
        <v>70</v>
      </c>
      <c r="AJ229" s="11" t="s">
        <v>71</v>
      </c>
      <c r="AK229" s="11" t="s">
        <v>72</v>
      </c>
      <c r="AL229" s="11" t="s">
        <v>73</v>
      </c>
      <c r="AM229" s="11" t="s">
        <v>74</v>
      </c>
    </row>
    <row r="230" spans="2:39" x14ac:dyDescent="0.2">
      <c r="B230" s="22" t="str">
        <f>'Wzorzec kategorii'!B192</f>
        <v>.</v>
      </c>
      <c r="C230" s="19">
        <v>0</v>
      </c>
      <c r="D230" s="20">
        <f>SUM(Tabela1923455962254[#This Row])</f>
        <v>0</v>
      </c>
      <c r="E230" s="20">
        <f t="shared" ref="E230:E239" si="29">C230-D230</f>
        <v>0</v>
      </c>
      <c r="F230" s="21" t="str">
        <f t="shared" ref="F230:F239" si="30">IFERROR(D230/C230,"")</f>
        <v/>
      </c>
      <c r="G230" s="24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2:39" x14ac:dyDescent="0.2">
      <c r="B231" s="22" t="str">
        <f>'Wzorzec kategorii'!B193</f>
        <v>.</v>
      </c>
      <c r="C231" s="19">
        <v>0</v>
      </c>
      <c r="D231" s="20">
        <f>SUM(Tabela1923455962254[#This Row])</f>
        <v>0</v>
      </c>
      <c r="E231" s="20">
        <f t="shared" si="29"/>
        <v>0</v>
      </c>
      <c r="F231" s="21" t="str">
        <f t="shared" si="30"/>
        <v/>
      </c>
      <c r="G231" s="24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 spans="2:39" x14ac:dyDescent="0.2">
      <c r="B232" s="22" t="str">
        <f>'Wzorzec kategorii'!B194</f>
        <v>.</v>
      </c>
      <c r="C232" s="19">
        <v>0</v>
      </c>
      <c r="D232" s="20">
        <f>SUM(Tabela1923455962254[#This Row])</f>
        <v>0</v>
      </c>
      <c r="E232" s="20">
        <f t="shared" si="29"/>
        <v>0</v>
      </c>
      <c r="F232" s="21" t="str">
        <f t="shared" si="30"/>
        <v/>
      </c>
      <c r="G232" s="24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</row>
    <row r="233" spans="2:39" x14ac:dyDescent="0.2">
      <c r="B233" s="22" t="str">
        <f>'Wzorzec kategorii'!B195</f>
        <v>.</v>
      </c>
      <c r="C233" s="19">
        <v>0</v>
      </c>
      <c r="D233" s="20">
        <f>SUM(Tabela1923455962254[#This Row])</f>
        <v>0</v>
      </c>
      <c r="E233" s="20">
        <f t="shared" si="29"/>
        <v>0</v>
      </c>
      <c r="F233" s="21" t="str">
        <f t="shared" si="30"/>
        <v/>
      </c>
      <c r="G233" s="24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2:39" x14ac:dyDescent="0.2">
      <c r="B234" s="22" t="str">
        <f>'Wzorzec kategorii'!B196</f>
        <v>.</v>
      </c>
      <c r="C234" s="19">
        <v>0</v>
      </c>
      <c r="D234" s="20">
        <f>SUM(Tabela1923455962254[#This Row])</f>
        <v>0</v>
      </c>
      <c r="E234" s="20">
        <f t="shared" si="29"/>
        <v>0</v>
      </c>
      <c r="F234" s="21" t="str">
        <f t="shared" si="30"/>
        <v/>
      </c>
      <c r="G234" s="24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 spans="2:39" x14ac:dyDescent="0.2">
      <c r="B235" s="22" t="str">
        <f>'Wzorzec kategorii'!B197</f>
        <v>.</v>
      </c>
      <c r="C235" s="19">
        <v>0</v>
      </c>
      <c r="D235" s="20">
        <f>SUM(Tabela1923455962254[#This Row])</f>
        <v>0</v>
      </c>
      <c r="E235" s="20">
        <f t="shared" si="29"/>
        <v>0</v>
      </c>
      <c r="F235" s="21" t="str">
        <f t="shared" si="30"/>
        <v/>
      </c>
      <c r="G235" s="24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 spans="2:39" x14ac:dyDescent="0.2">
      <c r="B236" s="22" t="str">
        <f>'Wzorzec kategorii'!B198</f>
        <v>.</v>
      </c>
      <c r="C236" s="19">
        <v>0</v>
      </c>
      <c r="D236" s="20">
        <f>SUM(Tabela1923455962254[#This Row])</f>
        <v>0</v>
      </c>
      <c r="E236" s="20">
        <f t="shared" si="29"/>
        <v>0</v>
      </c>
      <c r="F236" s="21" t="str">
        <f t="shared" si="30"/>
        <v/>
      </c>
      <c r="G236" s="24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 spans="2:39" x14ac:dyDescent="0.2">
      <c r="B237" s="22" t="str">
        <f>'Wzorzec kategorii'!B199</f>
        <v>.</v>
      </c>
      <c r="C237" s="19">
        <v>0</v>
      </c>
      <c r="D237" s="20">
        <f>SUM(Tabela1923455962254[#This Row])</f>
        <v>0</v>
      </c>
      <c r="E237" s="20">
        <f t="shared" si="29"/>
        <v>0</v>
      </c>
      <c r="F237" s="21" t="str">
        <f t="shared" si="30"/>
        <v/>
      </c>
      <c r="G237" s="24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 spans="2:39" x14ac:dyDescent="0.2">
      <c r="B238" s="22" t="str">
        <f>'Wzorzec kategorii'!B200</f>
        <v>.</v>
      </c>
      <c r="C238" s="19">
        <v>0</v>
      </c>
      <c r="D238" s="20">
        <f>SUM(Tabela1923455962254[#This Row])</f>
        <v>0</v>
      </c>
      <c r="E238" s="20">
        <f t="shared" si="29"/>
        <v>0</v>
      </c>
      <c r="F238" s="53" t="str">
        <f t="shared" si="30"/>
        <v/>
      </c>
      <c r="G238" s="54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</row>
    <row r="239" spans="2:39" x14ac:dyDescent="0.2">
      <c r="B239" s="22" t="str">
        <f>'Wzorzec kategorii'!B201</f>
        <v>.</v>
      </c>
      <c r="C239" s="19">
        <v>0</v>
      </c>
      <c r="D239" s="20">
        <f>SUM(Tabela1923455962254[#This Row])</f>
        <v>0</v>
      </c>
      <c r="E239" s="20">
        <f t="shared" si="29"/>
        <v>0</v>
      </c>
      <c r="F239" s="53" t="str">
        <f t="shared" si="30"/>
        <v/>
      </c>
      <c r="G239" s="54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</row>
    <row r="240" spans="2:39" x14ac:dyDescent="0.2"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</row>
    <row r="241" spans="2:39" x14ac:dyDescent="0.2">
      <c r="B241" s="2" t="str">
        <f>'Wzorzec kategorii'!B203</f>
        <v>INNE 3</v>
      </c>
      <c r="C241" s="3">
        <f>SUM(Tabela1640586061253[[#All],[Kolumna2]])</f>
        <v>0</v>
      </c>
      <c r="D241" s="16">
        <f>SUM(Tabela1640586061253[[#All],[Kolumna3]])</f>
        <v>0</v>
      </c>
      <c r="E241" s="3">
        <f>C241-D241</f>
        <v>0</v>
      </c>
      <c r="F241" s="17" t="str">
        <f>IFERROR(D241/C241,"")</f>
        <v/>
      </c>
      <c r="G241" s="3"/>
      <c r="I241" s="11" t="s">
        <v>44</v>
      </c>
      <c r="J241" s="11" t="s">
        <v>45</v>
      </c>
      <c r="K241" s="11" t="s">
        <v>46</v>
      </c>
      <c r="L241" s="11" t="s">
        <v>47</v>
      </c>
      <c r="M241" s="11" t="s">
        <v>48</v>
      </c>
      <c r="N241" s="11" t="s">
        <v>49</v>
      </c>
      <c r="O241" s="11" t="s">
        <v>50</v>
      </c>
      <c r="P241" s="11" t="s">
        <v>51</v>
      </c>
      <c r="Q241" s="11" t="s">
        <v>52</v>
      </c>
      <c r="R241" s="11" t="s">
        <v>53</v>
      </c>
      <c r="S241" s="11" t="s">
        <v>54</v>
      </c>
      <c r="T241" s="11" t="s">
        <v>55</v>
      </c>
      <c r="U241" s="11" t="s">
        <v>56</v>
      </c>
      <c r="V241" s="11" t="s">
        <v>57</v>
      </c>
      <c r="W241" s="11" t="s">
        <v>58</v>
      </c>
      <c r="X241" s="11" t="s">
        <v>59</v>
      </c>
      <c r="Y241" s="11" t="s">
        <v>60</v>
      </c>
      <c r="Z241" s="11" t="s">
        <v>61</v>
      </c>
      <c r="AA241" s="11" t="s">
        <v>62</v>
      </c>
      <c r="AB241" s="11" t="s">
        <v>63</v>
      </c>
      <c r="AC241" s="11" t="s">
        <v>64</v>
      </c>
      <c r="AD241" s="11" t="s">
        <v>65</v>
      </c>
      <c r="AE241" s="11" t="s">
        <v>66</v>
      </c>
      <c r="AF241" s="11" t="s">
        <v>67</v>
      </c>
      <c r="AG241" s="11" t="s">
        <v>68</v>
      </c>
      <c r="AH241" s="11" t="s">
        <v>69</v>
      </c>
      <c r="AI241" s="11" t="s">
        <v>70</v>
      </c>
      <c r="AJ241" s="11" t="s">
        <v>71</v>
      </c>
      <c r="AK241" s="11" t="s">
        <v>72</v>
      </c>
      <c r="AL241" s="11" t="s">
        <v>73</v>
      </c>
      <c r="AM241" s="11" t="s">
        <v>74</v>
      </c>
    </row>
    <row r="242" spans="2:39" x14ac:dyDescent="0.2">
      <c r="B242" s="22" t="str">
        <f>'Wzorzec kategorii'!B204</f>
        <v>.</v>
      </c>
      <c r="C242" s="19">
        <v>0</v>
      </c>
      <c r="D242" s="20">
        <f>SUM(Tabela1923455963255[#This Row])</f>
        <v>0</v>
      </c>
      <c r="E242" s="20">
        <f t="shared" ref="E242:E251" si="31">C242-D242</f>
        <v>0</v>
      </c>
      <c r="F242" s="21" t="str">
        <f t="shared" ref="F242:F251" si="32">IFERROR(D242/C242,"")</f>
        <v/>
      </c>
      <c r="G242" s="24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2:39" x14ac:dyDescent="0.2">
      <c r="B243" s="22" t="str">
        <f>'Wzorzec kategorii'!B205</f>
        <v>.</v>
      </c>
      <c r="C243" s="19">
        <v>0</v>
      </c>
      <c r="D243" s="20">
        <f>SUM(Tabela1923455963255[#This Row])</f>
        <v>0</v>
      </c>
      <c r="E243" s="20">
        <f t="shared" si="31"/>
        <v>0</v>
      </c>
      <c r="F243" s="21" t="str">
        <f t="shared" si="32"/>
        <v/>
      </c>
      <c r="G243" s="24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 spans="2:39" x14ac:dyDescent="0.2">
      <c r="B244" s="22" t="str">
        <f>'Wzorzec kategorii'!B206</f>
        <v>.</v>
      </c>
      <c r="C244" s="19">
        <v>0</v>
      </c>
      <c r="D244" s="20">
        <f>SUM(Tabela1923455963255[#This Row])</f>
        <v>0</v>
      </c>
      <c r="E244" s="20">
        <f t="shared" si="31"/>
        <v>0</v>
      </c>
      <c r="F244" s="21" t="str">
        <f t="shared" si="32"/>
        <v/>
      </c>
      <c r="G244" s="24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 spans="2:39" x14ac:dyDescent="0.2">
      <c r="B245" s="22" t="str">
        <f>'Wzorzec kategorii'!B207</f>
        <v>.</v>
      </c>
      <c r="C245" s="19">
        <v>0</v>
      </c>
      <c r="D245" s="20">
        <f>SUM(Tabela1923455963255[#This Row])</f>
        <v>0</v>
      </c>
      <c r="E245" s="20">
        <f t="shared" si="31"/>
        <v>0</v>
      </c>
      <c r="F245" s="21" t="str">
        <f t="shared" si="32"/>
        <v/>
      </c>
      <c r="G245" s="24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2:39" x14ac:dyDescent="0.2">
      <c r="B246" s="22" t="str">
        <f>'Wzorzec kategorii'!B208</f>
        <v>.</v>
      </c>
      <c r="C246" s="19">
        <v>0</v>
      </c>
      <c r="D246" s="20">
        <f>SUM(Tabela1923455963255[#This Row])</f>
        <v>0</v>
      </c>
      <c r="E246" s="20">
        <f t="shared" si="31"/>
        <v>0</v>
      </c>
      <c r="F246" s="21" t="str">
        <f t="shared" si="32"/>
        <v/>
      </c>
      <c r="G246" s="24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 spans="2:39" x14ac:dyDescent="0.2">
      <c r="B247" s="22" t="str">
        <f>'Wzorzec kategorii'!B209</f>
        <v>.</v>
      </c>
      <c r="C247" s="19">
        <v>0</v>
      </c>
      <c r="D247" s="20">
        <f>SUM(Tabela1923455963255[#This Row])</f>
        <v>0</v>
      </c>
      <c r="E247" s="20">
        <f t="shared" si="31"/>
        <v>0</v>
      </c>
      <c r="F247" s="21" t="str">
        <f t="shared" si="32"/>
        <v/>
      </c>
      <c r="G247" s="24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</row>
    <row r="248" spans="2:39" x14ac:dyDescent="0.2">
      <c r="B248" s="22" t="str">
        <f>'Wzorzec kategorii'!B210</f>
        <v>.</v>
      </c>
      <c r="C248" s="19">
        <v>0</v>
      </c>
      <c r="D248" s="20">
        <f>SUM(Tabela1923455963255[#This Row])</f>
        <v>0</v>
      </c>
      <c r="E248" s="20">
        <f t="shared" si="31"/>
        <v>0</v>
      </c>
      <c r="F248" s="21" t="str">
        <f t="shared" si="32"/>
        <v/>
      </c>
      <c r="G248" s="24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 spans="2:39" x14ac:dyDescent="0.2">
      <c r="B249" s="22" t="str">
        <f>'Wzorzec kategorii'!B211</f>
        <v>.</v>
      </c>
      <c r="C249" s="19">
        <v>0</v>
      </c>
      <c r="D249" s="20">
        <f>SUM(Tabela1923455963255[#This Row])</f>
        <v>0</v>
      </c>
      <c r="E249" s="20">
        <f t="shared" si="31"/>
        <v>0</v>
      </c>
      <c r="F249" s="21" t="str">
        <f t="shared" si="32"/>
        <v/>
      </c>
      <c r="G249" s="24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 spans="2:39" x14ac:dyDescent="0.2">
      <c r="B250" s="22" t="str">
        <f>'Wzorzec kategorii'!B212</f>
        <v>.</v>
      </c>
      <c r="C250" s="19">
        <v>0</v>
      </c>
      <c r="D250" s="20">
        <f>SUM(Tabela1923455963255[#This Row])</f>
        <v>0</v>
      </c>
      <c r="E250" s="20">
        <f t="shared" si="31"/>
        <v>0</v>
      </c>
      <c r="F250" s="53" t="str">
        <f t="shared" si="32"/>
        <v/>
      </c>
      <c r="G250" s="54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</row>
    <row r="251" spans="2:39" x14ac:dyDescent="0.2">
      <c r="B251" s="22" t="str">
        <f>'Wzorzec kategorii'!B213</f>
        <v>.</v>
      </c>
      <c r="C251" s="19">
        <v>0</v>
      </c>
      <c r="D251" s="20">
        <f>SUM(Tabela1923455963255[#This Row])</f>
        <v>0</v>
      </c>
      <c r="E251" s="20">
        <f t="shared" si="31"/>
        <v>0</v>
      </c>
      <c r="F251" s="53" t="str">
        <f t="shared" si="32"/>
        <v/>
      </c>
      <c r="G251" s="54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</row>
    <row r="252" spans="2:39" x14ac:dyDescent="0.2"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</row>
    <row r="253" spans="2:39" ht="30" x14ac:dyDescent="0.2">
      <c r="C253" s="9" t="s">
        <v>131</v>
      </c>
      <c r="D253" s="10" t="s">
        <v>135</v>
      </c>
      <c r="E253" s="8" t="s">
        <v>129</v>
      </c>
      <c r="I253" s="9" t="s">
        <v>44</v>
      </c>
      <c r="J253" s="9" t="s">
        <v>45</v>
      </c>
      <c r="K253" s="9" t="s">
        <v>46</v>
      </c>
      <c r="L253" s="9" t="s">
        <v>47</v>
      </c>
      <c r="M253" s="9" t="s">
        <v>48</v>
      </c>
      <c r="N253" s="9" t="s">
        <v>49</v>
      </c>
      <c r="O253" s="9" t="s">
        <v>50</v>
      </c>
      <c r="P253" s="9" t="s">
        <v>51</v>
      </c>
      <c r="Q253" s="9" t="s">
        <v>52</v>
      </c>
      <c r="R253" s="9" t="s">
        <v>53</v>
      </c>
      <c r="S253" s="9" t="s">
        <v>54</v>
      </c>
      <c r="T253" s="9" t="s">
        <v>55</v>
      </c>
      <c r="U253" s="9" t="s">
        <v>56</v>
      </c>
      <c r="V253" s="9" t="s">
        <v>57</v>
      </c>
      <c r="W253" s="9" t="s">
        <v>58</v>
      </c>
      <c r="X253" s="9" t="s">
        <v>59</v>
      </c>
      <c r="Y253" s="9" t="s">
        <v>60</v>
      </c>
      <c r="Z253" s="9" t="s">
        <v>61</v>
      </c>
      <c r="AA253" s="9" t="s">
        <v>62</v>
      </c>
      <c r="AB253" s="9" t="s">
        <v>63</v>
      </c>
      <c r="AC253" s="9" t="s">
        <v>64</v>
      </c>
      <c r="AD253" s="9" t="s">
        <v>65</v>
      </c>
      <c r="AE253" s="9" t="s">
        <v>66</v>
      </c>
      <c r="AF253" s="9" t="s">
        <v>67</v>
      </c>
      <c r="AG253" s="9" t="s">
        <v>68</v>
      </c>
      <c r="AH253" s="9" t="s">
        <v>69</v>
      </c>
      <c r="AI253" s="9" t="s">
        <v>70</v>
      </c>
      <c r="AJ253" s="9" t="s">
        <v>71</v>
      </c>
      <c r="AK253" s="9" t="s">
        <v>72</v>
      </c>
      <c r="AL253" s="9" t="s">
        <v>73</v>
      </c>
      <c r="AM253" s="9" t="s">
        <v>74</v>
      </c>
    </row>
    <row r="254" spans="2:39" ht="22" customHeight="1" x14ac:dyDescent="0.2">
      <c r="B254" s="39" t="s">
        <v>31</v>
      </c>
      <c r="C254" s="40">
        <f>C71</f>
        <v>0</v>
      </c>
      <c r="D254" s="40">
        <f>D71</f>
        <v>0</v>
      </c>
      <c r="E254" s="40">
        <f>C254-D254</f>
        <v>0</v>
      </c>
      <c r="G254" s="39" t="s">
        <v>126</v>
      </c>
      <c r="I254" s="43">
        <f>SUM(I73:I251)</f>
        <v>0</v>
      </c>
      <c r="J254" s="43">
        <f>SUM(J73:J251)</f>
        <v>0</v>
      </c>
      <c r="K254" s="43">
        <f>SUM(K73:K251)</f>
        <v>0</v>
      </c>
      <c r="L254" s="43">
        <f t="shared" ref="L254:AM254" si="33">SUM(L73:L251)</f>
        <v>0</v>
      </c>
      <c r="M254" s="43">
        <f t="shared" si="33"/>
        <v>0</v>
      </c>
      <c r="N254" s="43">
        <f t="shared" si="33"/>
        <v>0</v>
      </c>
      <c r="O254" s="43">
        <f t="shared" si="33"/>
        <v>0</v>
      </c>
      <c r="P254" s="43">
        <f t="shared" si="33"/>
        <v>0</v>
      </c>
      <c r="Q254" s="43">
        <f t="shared" si="33"/>
        <v>0</v>
      </c>
      <c r="R254" s="43">
        <f t="shared" si="33"/>
        <v>0</v>
      </c>
      <c r="S254" s="43">
        <f t="shared" si="33"/>
        <v>0</v>
      </c>
      <c r="T254" s="43">
        <f t="shared" si="33"/>
        <v>0</v>
      </c>
      <c r="U254" s="43">
        <f t="shared" si="33"/>
        <v>0</v>
      </c>
      <c r="V254" s="43">
        <f t="shared" si="33"/>
        <v>0</v>
      </c>
      <c r="W254" s="43">
        <f t="shared" si="33"/>
        <v>0</v>
      </c>
      <c r="X254" s="43">
        <f t="shared" si="33"/>
        <v>0</v>
      </c>
      <c r="Y254" s="43">
        <f t="shared" si="33"/>
        <v>0</v>
      </c>
      <c r="Z254" s="43">
        <f t="shared" si="33"/>
        <v>0</v>
      </c>
      <c r="AA254" s="43">
        <f t="shared" si="33"/>
        <v>0</v>
      </c>
      <c r="AB254" s="43">
        <f t="shared" si="33"/>
        <v>0</v>
      </c>
      <c r="AC254" s="43">
        <f t="shared" si="33"/>
        <v>0</v>
      </c>
      <c r="AD254" s="43">
        <f t="shared" si="33"/>
        <v>0</v>
      </c>
      <c r="AE254" s="43">
        <f t="shared" si="33"/>
        <v>0</v>
      </c>
      <c r="AF254" s="43">
        <f t="shared" si="33"/>
        <v>0</v>
      </c>
      <c r="AG254" s="43">
        <f t="shared" si="33"/>
        <v>0</v>
      </c>
      <c r="AH254" s="43">
        <f t="shared" si="33"/>
        <v>0</v>
      </c>
      <c r="AI254" s="43">
        <f t="shared" si="33"/>
        <v>0</v>
      </c>
      <c r="AJ254" s="43">
        <f t="shared" si="33"/>
        <v>0</v>
      </c>
      <c r="AK254" s="43">
        <f t="shared" si="33"/>
        <v>0</v>
      </c>
      <c r="AL254" s="43">
        <f t="shared" si="33"/>
        <v>0</v>
      </c>
      <c r="AM254" s="43">
        <f t="shared" si="33"/>
        <v>0</v>
      </c>
    </row>
    <row r="255" spans="2:39" x14ac:dyDescent="0.2"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</row>
  </sheetData>
  <mergeCells count="27">
    <mergeCell ref="B12:C12"/>
    <mergeCell ref="B2:C2"/>
    <mergeCell ref="D2:E2"/>
    <mergeCell ref="B4:E4"/>
    <mergeCell ref="B9:C9"/>
    <mergeCell ref="B10:C10"/>
    <mergeCell ref="C32:D32"/>
    <mergeCell ref="B16:C16"/>
    <mergeCell ref="B17:C17"/>
    <mergeCell ref="B19:C19"/>
    <mergeCell ref="B21:E21"/>
    <mergeCell ref="B23:D23"/>
    <mergeCell ref="B25:E25"/>
    <mergeCell ref="C27:D27"/>
    <mergeCell ref="C28:D28"/>
    <mergeCell ref="C29:D29"/>
    <mergeCell ref="C30:D30"/>
    <mergeCell ref="C31:D31"/>
    <mergeCell ref="C39:D39"/>
    <mergeCell ref="C40:D40"/>
    <mergeCell ref="C41:D41"/>
    <mergeCell ref="C33:D33"/>
    <mergeCell ref="C34:D34"/>
    <mergeCell ref="C35:D35"/>
    <mergeCell ref="C36:D36"/>
    <mergeCell ref="C37:D37"/>
    <mergeCell ref="C38:D38"/>
  </mergeCells>
  <conditionalFormatting sqref="D73">
    <cfRule type="dataBar" priority="29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{4576D13A-C95B-7741-82F8-B008D1CD4DA3}</x14:id>
        </ext>
      </extLst>
    </cfRule>
  </conditionalFormatting>
  <conditionalFormatting sqref="D85">
    <cfRule type="dataBar" priority="28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{3ADC9DD2-EE32-CD47-B8C0-79BAF2902F37}</x14:id>
        </ext>
      </extLst>
    </cfRule>
  </conditionalFormatting>
  <conditionalFormatting sqref="B23:D23">
    <cfRule type="dataBar" priority="27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{FA080584-F4ED-FF4F-8AE4-EC2BEFDAD968}</x14:id>
        </ext>
      </extLst>
    </cfRule>
  </conditionalFormatting>
  <conditionalFormatting sqref="C27:D27">
    <cfRule type="dataBar" priority="26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{51B37101-26D5-FE47-AB64-520693F81AFF}</x14:id>
        </ext>
      </extLst>
    </cfRule>
  </conditionalFormatting>
  <conditionalFormatting sqref="D97">
    <cfRule type="dataBar" priority="25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{A2E48DEE-2171-5E44-8FFE-44B4D2BF5414}</x14:id>
        </ext>
      </extLst>
    </cfRule>
  </conditionalFormatting>
  <conditionalFormatting sqref="C28:D28">
    <cfRule type="dataBar" priority="24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{D37B19C9-FFA5-D343-9689-A1EAABE1ABE9}</x14:id>
        </ext>
      </extLst>
    </cfRule>
  </conditionalFormatting>
  <conditionalFormatting sqref="C29:D29">
    <cfRule type="dataBar" priority="23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{3BC7749D-2835-0541-892B-732789DAD5B2}</x14:id>
        </ext>
      </extLst>
    </cfRule>
  </conditionalFormatting>
  <conditionalFormatting sqref="C30:D30">
    <cfRule type="dataBar" priority="22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{39DA72B4-700F-894E-84E4-82019B824B8D}</x14:id>
        </ext>
      </extLst>
    </cfRule>
  </conditionalFormatting>
  <conditionalFormatting sqref="C31:D31">
    <cfRule type="dataBar" priority="21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{7E661F44-6278-8742-916A-40B2C02B52AF}</x14:id>
        </ext>
      </extLst>
    </cfRule>
  </conditionalFormatting>
  <conditionalFormatting sqref="C32:D32">
    <cfRule type="dataBar" priority="20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{3FE51351-0460-8149-B24A-A3BE6E72AF3B}</x14:id>
        </ext>
      </extLst>
    </cfRule>
  </conditionalFormatting>
  <conditionalFormatting sqref="C33:D33">
    <cfRule type="dataBar" priority="19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{D778B977-E85A-ED4C-928F-678665DFA1AC}</x14:id>
        </ext>
      </extLst>
    </cfRule>
  </conditionalFormatting>
  <conditionalFormatting sqref="C34:D34">
    <cfRule type="dataBar" priority="18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{B15BE669-0F6D-C04F-80F0-A70C2AAAF7BC}</x14:id>
        </ext>
      </extLst>
    </cfRule>
  </conditionalFormatting>
  <conditionalFormatting sqref="C35:D35">
    <cfRule type="dataBar" priority="17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{8C54ACA8-0476-AC45-9293-F1A57B999CAD}</x14:id>
        </ext>
      </extLst>
    </cfRule>
  </conditionalFormatting>
  <conditionalFormatting sqref="C36:D36">
    <cfRule type="dataBar" priority="16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{F632B451-3323-4041-9D07-64C8A4F22F75}</x14:id>
        </ext>
      </extLst>
    </cfRule>
  </conditionalFormatting>
  <conditionalFormatting sqref="C37:D37">
    <cfRule type="dataBar" priority="15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{A7722993-4BF7-8A40-A6A7-6B89BA97C447}</x14:id>
        </ext>
      </extLst>
    </cfRule>
  </conditionalFormatting>
  <conditionalFormatting sqref="C38:D41">
    <cfRule type="dataBar" priority="14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{7F8ECC99-0862-B34A-9A4A-CF73637A47C8}</x14:id>
        </ext>
      </extLst>
    </cfRule>
  </conditionalFormatting>
  <conditionalFormatting sqref="D109">
    <cfRule type="dataBar" priority="13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{48AD170A-BDD4-474B-91B2-0DF10AF79A78}</x14:id>
        </ext>
      </extLst>
    </cfRule>
  </conditionalFormatting>
  <conditionalFormatting sqref="D121">
    <cfRule type="dataBar" priority="12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{A615004E-749A-EB4E-940F-F228F82CD03D}</x14:id>
        </ext>
      </extLst>
    </cfRule>
  </conditionalFormatting>
  <conditionalFormatting sqref="D133">
    <cfRule type="dataBar" priority="11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{7C617D81-03FC-1A46-8F44-5A54276707E7}</x14:id>
        </ext>
      </extLst>
    </cfRule>
  </conditionalFormatting>
  <conditionalFormatting sqref="D145">
    <cfRule type="dataBar" priority="10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{4DC6A496-052C-394D-A3F9-D6A542B6514B}</x14:id>
        </ext>
      </extLst>
    </cfRule>
  </conditionalFormatting>
  <conditionalFormatting sqref="D157">
    <cfRule type="dataBar" priority="9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{049B9E9F-9A26-EE45-8EFB-63A24F1123BF}</x14:id>
        </ext>
      </extLst>
    </cfRule>
  </conditionalFormatting>
  <conditionalFormatting sqref="D169">
    <cfRule type="dataBar" priority="8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{35D99450-F6E7-284E-A844-D30702D5407C}</x14:id>
        </ext>
      </extLst>
    </cfRule>
  </conditionalFormatting>
  <conditionalFormatting sqref="D181">
    <cfRule type="dataBar" priority="7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{FC6B7928-F83C-604E-8A16-CABCBA2A2D39}</x14:id>
        </ext>
      </extLst>
    </cfRule>
  </conditionalFormatting>
  <conditionalFormatting sqref="D193">
    <cfRule type="dataBar" priority="6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{2E1EE07D-B8E1-DF44-81C9-BB9E112CDBA3}</x14:id>
        </ext>
      </extLst>
    </cfRule>
  </conditionalFormatting>
  <conditionalFormatting sqref="D205">
    <cfRule type="dataBar" priority="5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{D423A95F-68F4-BE4B-8B04-FC28CB4B6882}</x14:id>
        </ext>
      </extLst>
    </cfRule>
  </conditionalFormatting>
  <conditionalFormatting sqref="D51">
    <cfRule type="dataBar" priority="4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{21F249C7-D5CC-624E-9F42-09539F3FD179}</x14:id>
        </ext>
      </extLst>
    </cfRule>
  </conditionalFormatting>
  <conditionalFormatting sqref="D217">
    <cfRule type="dataBar" priority="3">
      <dataBar>
        <cfvo type="num" val="0"/>
        <cfvo type="formula" val="$C$217"/>
        <color rgb="FF92D050"/>
      </dataBar>
      <extLst>
        <ext xmlns:x14="http://schemas.microsoft.com/office/spreadsheetml/2009/9/main" uri="{B025F937-C7B1-47D3-B67F-A62EFF666E3E}">
          <x14:id>{9795E58A-1CD3-9E43-9749-DB3024ABD32D}</x14:id>
        </ext>
      </extLst>
    </cfRule>
  </conditionalFormatting>
  <conditionalFormatting sqref="D229">
    <cfRule type="dataBar" priority="2">
      <dataBar>
        <cfvo type="num" val="0"/>
        <cfvo type="formula" val="$C$229"/>
        <color rgb="FF92D050"/>
      </dataBar>
      <extLst>
        <ext xmlns:x14="http://schemas.microsoft.com/office/spreadsheetml/2009/9/main" uri="{B025F937-C7B1-47D3-B67F-A62EFF666E3E}">
          <x14:id>{0B4819BD-2E76-E243-A4C2-FB9C5EC684A1}</x14:id>
        </ext>
      </extLst>
    </cfRule>
  </conditionalFormatting>
  <conditionalFormatting sqref="D241">
    <cfRule type="dataBar" priority="1">
      <dataBar>
        <cfvo type="num" val="0"/>
        <cfvo type="formula" val="$C$241"/>
        <color rgb="FF92D050"/>
      </dataBar>
      <extLst>
        <ext xmlns:x14="http://schemas.microsoft.com/office/spreadsheetml/2009/9/main" uri="{B025F937-C7B1-47D3-B67F-A62EFF666E3E}">
          <x14:id>{32B8790D-EDA1-7C40-950A-F9FF8A50EEEB}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576D13A-C95B-7741-82F8-B008D1CD4DA3}">
            <x14:dataBar minLength="0" maxLength="100" gradient="0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3ADC9DD2-EE32-CD47-B8C0-79BAF2902F37}">
            <x14:dataBar minLength="0" maxLength="100" gradient="0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FA080584-F4ED-FF4F-8AE4-EC2BEFDAD968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51B37101-26D5-FE47-AB64-520693F81AFF}">
            <x14:dataBar minLength="0" maxLength="100" gradient="0" direction="leftToRight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A2E48DEE-2171-5E44-8FFE-44B4D2BF5414}">
            <x14:dataBar minLength="0" maxLength="100" gradient="0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D37B19C9-FFA5-D343-9689-A1EAABE1ABE9}">
            <x14:dataBar minLength="0" maxLength="100" gradient="0" direction="leftToRight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3BC7749D-2835-0541-892B-732789DAD5B2}">
            <x14:dataBar minLength="0" maxLength="100" gradient="0" direction="leftToRight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39DA72B4-700F-894E-84E4-82019B824B8D}">
            <x14:dataBar minLength="0" maxLength="100" gradient="0" direction="leftToRight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7E661F44-6278-8742-916A-40B2C02B52AF}">
            <x14:dataBar minLength="0" maxLength="100" gradient="0" direction="leftToRight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3FE51351-0460-8149-B24A-A3BE6E72AF3B}">
            <x14:dataBar minLength="0" maxLength="100" gradient="0" direction="leftToRight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D778B977-E85A-ED4C-928F-678665DFA1AC}">
            <x14:dataBar minLength="0" maxLength="100" gradient="0" direction="leftToRight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B15BE669-0F6D-C04F-80F0-A70C2AAAF7BC}">
            <x14:dataBar minLength="0" maxLength="100" gradient="0" direction="leftToRight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8C54ACA8-0476-AC45-9293-F1A57B999CAD}">
            <x14:dataBar minLength="0" maxLength="100" gradient="0" direction="leftToRight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F632B451-3323-4041-9D07-64C8A4F22F75}">
            <x14:dataBar minLength="0" maxLength="100" gradient="0" direction="leftToRight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A7722993-4BF7-8A40-A6A7-6B89BA97C447}">
            <x14:dataBar minLength="0" maxLength="100" gradient="0" direction="leftToRight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7F8ECC99-0862-B34A-9A4A-CF73637A47C8}">
            <x14:dataBar minLength="0" maxLength="100" gradient="0" direction="leftToRight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C38:D41</xm:sqref>
        </x14:conditionalFormatting>
        <x14:conditionalFormatting xmlns:xm="http://schemas.microsoft.com/office/excel/2006/main">
          <x14:cfRule type="dataBar" id="{48AD170A-BDD4-474B-91B2-0DF10AF79A78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D109</xm:sqref>
        </x14:conditionalFormatting>
        <x14:conditionalFormatting xmlns:xm="http://schemas.microsoft.com/office/excel/2006/main">
          <x14:cfRule type="dataBar" id="{A615004E-749A-EB4E-940F-F228F82CD03D}">
            <x14:dataBar minLength="0" maxLength="100" gradient="0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D121</xm:sqref>
        </x14:conditionalFormatting>
        <x14:conditionalFormatting xmlns:xm="http://schemas.microsoft.com/office/excel/2006/main">
          <x14:cfRule type="dataBar" id="{7C617D81-03FC-1A46-8F44-5A54276707E7}">
            <x14:dataBar minLength="0" maxLength="100" gradient="0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4DC6A496-052C-394D-A3F9-D6A542B6514B}">
            <x14:dataBar minLength="0" maxLength="100" gradient="0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049B9E9F-9A26-EE45-8EFB-63A24F1123BF}">
            <x14:dataBar minLength="0" maxLength="100" gradient="0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35D99450-F6E7-284E-A844-D30702D5407C}">
            <x14:dataBar minLength="0" maxLength="100" gradient="0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FC6B7928-F83C-604E-8A16-CABCBA2A2D39}">
            <x14:dataBar minLength="0" maxLength="100" gradient="0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2E1EE07D-B8E1-DF44-81C9-BB9E112CDBA3}">
            <x14:dataBar minLength="0" maxLength="100" gradient="0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D193</xm:sqref>
        </x14:conditionalFormatting>
        <x14:conditionalFormatting xmlns:xm="http://schemas.microsoft.com/office/excel/2006/main">
          <x14:cfRule type="dataBar" id="{D423A95F-68F4-BE4B-8B04-FC28CB4B6882}">
            <x14:dataBar minLength="0" maxLength="100" gradient="0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D205</xm:sqref>
        </x14:conditionalFormatting>
        <x14:conditionalFormatting xmlns:xm="http://schemas.microsoft.com/office/excel/2006/main">
          <x14:cfRule type="dataBar" id="{21F249C7-D5CC-624E-9F42-09539F3FD179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9795E58A-1CD3-9E43-9749-DB3024ABD32D}">
            <x14:dataBar minLength="0" maxLength="100" gradient="0">
              <x14:cfvo type="num">
                <xm:f>0</xm:f>
              </x14:cfvo>
              <x14:cfvo type="formula">
                <xm:f>$C$217</xm:f>
              </x14:cfvo>
              <x14:negativeFillColor rgb="FFFF0000"/>
              <x14:axisColor rgb="FF000000"/>
            </x14:dataBar>
          </x14:cfRule>
          <xm:sqref>D217</xm:sqref>
        </x14:conditionalFormatting>
        <x14:conditionalFormatting xmlns:xm="http://schemas.microsoft.com/office/excel/2006/main">
          <x14:cfRule type="dataBar" id="{0B4819BD-2E76-E243-A4C2-FB9C5EC684A1}">
            <x14:dataBar minLength="0" maxLength="100" gradient="0">
              <x14:cfvo type="num">
                <xm:f>0</xm:f>
              </x14:cfvo>
              <x14:cfvo type="formula">
                <xm:f>$C$229</xm:f>
              </x14:cfvo>
              <x14:negativeFillColor rgb="FFFF0000"/>
              <x14:axisColor rgb="FF000000"/>
            </x14:dataBar>
          </x14:cfRule>
          <xm:sqref>D229</xm:sqref>
        </x14:conditionalFormatting>
        <x14:conditionalFormatting xmlns:xm="http://schemas.microsoft.com/office/excel/2006/main">
          <x14:cfRule type="dataBar" id="{32B8790D-EDA1-7C40-950A-F9FF8A50EEEB}">
            <x14:dataBar minLength="0" maxLength="100" gradient="0">
              <x14:cfvo type="num">
                <xm:f>0</xm:f>
              </x14:cfvo>
              <x14:cfvo type="formula">
                <xm:f>$C$241</xm:f>
              </x14:cfvo>
              <x14:negativeFillColor rgb="FFFF0000"/>
              <x14:axisColor rgb="FF000000"/>
            </x14:dataBar>
          </x14:cfRule>
          <xm:sqref>D241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 enableFormatConditionsCalculation="0"/>
  <dimension ref="B2:AO255"/>
  <sheetViews>
    <sheetView showGridLines="0" workbookViewId="0">
      <pane xSplit="8" topLeftCell="I1" activePane="topRight" state="frozen"/>
      <selection activeCell="A12" sqref="A12"/>
      <selection pane="topRight" activeCell="I2" sqref="I2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  <col min="9" max="39" width="11.33203125" customWidth="1"/>
  </cols>
  <sheetData>
    <row r="2" spans="2:7" ht="24" x14ac:dyDescent="0.3">
      <c r="B2" s="66" t="s">
        <v>130</v>
      </c>
      <c r="C2" s="66"/>
      <c r="D2" s="67" t="s">
        <v>166</v>
      </c>
      <c r="E2" s="68"/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69" t="s">
        <v>144</v>
      </c>
      <c r="C4" s="70"/>
      <c r="D4" s="70"/>
      <c r="E4" s="70"/>
    </row>
    <row r="5" spans="2:7" outlineLevel="1" x14ac:dyDescent="0.2">
      <c r="B5" s="41" t="s">
        <v>147</v>
      </c>
      <c r="C5" s="45" t="s">
        <v>148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132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62" t="s">
        <v>127</v>
      </c>
      <c r="C9" s="62"/>
      <c r="D9" s="34">
        <f>C49</f>
        <v>0</v>
      </c>
      <c r="E9" s="18"/>
    </row>
    <row r="10" spans="2:7" x14ac:dyDescent="0.2">
      <c r="B10" s="62" t="s">
        <v>131</v>
      </c>
      <c r="C10" s="62"/>
      <c r="D10" s="34">
        <f>C71</f>
        <v>0</v>
      </c>
      <c r="E10" s="18"/>
    </row>
    <row r="11" spans="2:7" x14ac:dyDescent="0.2">
      <c r="B11" s="48"/>
      <c r="C11" s="48"/>
      <c r="D11" s="31"/>
      <c r="E11" s="18"/>
    </row>
    <row r="12" spans="2:7" ht="30" customHeight="1" x14ac:dyDescent="0.2">
      <c r="B12" s="63" t="s">
        <v>133</v>
      </c>
      <c r="C12" s="63"/>
      <c r="D12" s="36">
        <f>D9-D10</f>
        <v>0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134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62" t="s">
        <v>128</v>
      </c>
      <c r="C16" s="62"/>
      <c r="D16" s="28">
        <f>D49</f>
        <v>0</v>
      </c>
      <c r="E16" s="18"/>
    </row>
    <row r="17" spans="2:5" x14ac:dyDescent="0.2">
      <c r="B17" s="62" t="s">
        <v>135</v>
      </c>
      <c r="C17" s="62"/>
      <c r="D17" s="28">
        <f>D71</f>
        <v>0</v>
      </c>
      <c r="E17" s="18"/>
    </row>
    <row r="18" spans="2:5" x14ac:dyDescent="0.2">
      <c r="B18" s="48"/>
      <c r="C18" s="48"/>
      <c r="D18" s="28"/>
      <c r="E18" s="18"/>
    </row>
    <row r="19" spans="2:5" ht="30" customHeight="1" x14ac:dyDescent="0.2">
      <c r="B19" s="63" t="s">
        <v>136</v>
      </c>
      <c r="C19" s="63"/>
      <c r="D19" s="36">
        <f>D16-D17</f>
        <v>0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64" t="s">
        <v>137</v>
      </c>
      <c r="C21" s="64"/>
      <c r="D21" s="64"/>
      <c r="E21" s="64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60">
        <f>D17</f>
        <v>0</v>
      </c>
      <c r="C23" s="65"/>
      <c r="D23" s="61"/>
      <c r="E23" s="38" t="str">
        <f>IFERROR(D17/D16,"")</f>
        <v/>
      </c>
    </row>
    <row r="24" spans="2:5" ht="18" x14ac:dyDescent="0.2">
      <c r="B24" s="29"/>
      <c r="D24" s="30"/>
      <c r="E24" s="18"/>
    </row>
    <row r="25" spans="2:5" x14ac:dyDescent="0.2">
      <c r="B25" s="64" t="s">
        <v>138</v>
      </c>
      <c r="C25" s="64"/>
      <c r="D25" s="64"/>
      <c r="E25" s="64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B73</f>
        <v>Jedzenie</v>
      </c>
      <c r="C27" s="60">
        <f>D73</f>
        <v>0</v>
      </c>
      <c r="D27" s="72"/>
      <c r="E27" s="38" t="str">
        <f>IFERROR(D73/C73,"")</f>
        <v/>
      </c>
    </row>
    <row r="28" spans="2:5" ht="18" customHeight="1" x14ac:dyDescent="0.2">
      <c r="B28" s="29" t="str">
        <f>B85</f>
        <v>Mieszkanie / dom</v>
      </c>
      <c r="C28" s="60">
        <f>D85</f>
        <v>0</v>
      </c>
      <c r="D28" s="61"/>
      <c r="E28" s="38" t="str">
        <f>IFERROR(D85/C85,"")</f>
        <v/>
      </c>
    </row>
    <row r="29" spans="2:5" ht="18" customHeight="1" x14ac:dyDescent="0.2">
      <c r="B29" s="29" t="str">
        <f>B97</f>
        <v>Transport</v>
      </c>
      <c r="C29" s="60">
        <f>D97</f>
        <v>0</v>
      </c>
      <c r="D29" s="61"/>
      <c r="E29" s="38" t="str">
        <f>IFERROR(D97/C97,"")</f>
        <v/>
      </c>
    </row>
    <row r="30" spans="2:5" ht="18" customHeight="1" x14ac:dyDescent="0.2">
      <c r="B30" s="29" t="str">
        <f>B109</f>
        <v>Telekomunikacja</v>
      </c>
      <c r="C30" s="60">
        <f>D109</f>
        <v>0</v>
      </c>
      <c r="D30" s="61"/>
      <c r="E30" s="38" t="str">
        <f>IFERROR(D109/C109,"")</f>
        <v/>
      </c>
    </row>
    <row r="31" spans="2:5" ht="18" customHeight="1" x14ac:dyDescent="0.2">
      <c r="B31" s="29" t="str">
        <f>B121</f>
        <v>Opieka zdrowotna</v>
      </c>
      <c r="C31" s="60">
        <f>D121</f>
        <v>0</v>
      </c>
      <c r="D31" s="61"/>
      <c r="E31" s="38" t="str">
        <f>IFERROR(D121/C121,"")</f>
        <v/>
      </c>
    </row>
    <row r="32" spans="2:5" ht="18" customHeight="1" x14ac:dyDescent="0.2">
      <c r="B32" s="29" t="str">
        <f>B133</f>
        <v>Ubranie</v>
      </c>
      <c r="C32" s="60">
        <f>D133</f>
        <v>0</v>
      </c>
      <c r="D32" s="61"/>
      <c r="E32" s="38" t="str">
        <f>IFERROR(D133/C133,"")</f>
        <v/>
      </c>
    </row>
    <row r="33" spans="2:9" ht="18" customHeight="1" x14ac:dyDescent="0.2">
      <c r="B33" s="29" t="str">
        <f>B145</f>
        <v>Higiena</v>
      </c>
      <c r="C33" s="60">
        <f>D145</f>
        <v>0</v>
      </c>
      <c r="D33" s="61"/>
      <c r="E33" s="38" t="str">
        <f>IFERROR(D145/C145,"")</f>
        <v/>
      </c>
    </row>
    <row r="34" spans="2:9" ht="18" customHeight="1" x14ac:dyDescent="0.2">
      <c r="B34" s="29" t="str">
        <f>B157</f>
        <v>Dzieci</v>
      </c>
      <c r="C34" s="60">
        <f>D157</f>
        <v>0</v>
      </c>
      <c r="D34" s="61"/>
      <c r="E34" s="38" t="str">
        <f>IFERROR(D157/C157,"")</f>
        <v/>
      </c>
    </row>
    <row r="35" spans="2:9" ht="18" customHeight="1" x14ac:dyDescent="0.2">
      <c r="B35" s="29" t="str">
        <f>B169</f>
        <v>Rozrywka</v>
      </c>
      <c r="C35" s="60">
        <f>D169</f>
        <v>0</v>
      </c>
      <c r="D35" s="61"/>
      <c r="E35" s="38" t="str">
        <f>IFERROR(D169/C169,"")</f>
        <v/>
      </c>
    </row>
    <row r="36" spans="2:9" ht="18" customHeight="1" x14ac:dyDescent="0.2">
      <c r="B36" s="29" t="str">
        <f>B181</f>
        <v>Inne wydatki</v>
      </c>
      <c r="C36" s="60">
        <f>D181</f>
        <v>0</v>
      </c>
      <c r="D36" s="61"/>
      <c r="E36" s="38" t="str">
        <f>IFERROR(D181/C181,"")</f>
        <v/>
      </c>
    </row>
    <row r="37" spans="2:9" ht="18" customHeight="1" x14ac:dyDescent="0.2">
      <c r="B37" s="29" t="str">
        <f>B193</f>
        <v>Spłata długów</v>
      </c>
      <c r="C37" s="60">
        <f>D193</f>
        <v>0</v>
      </c>
      <c r="D37" s="61"/>
      <c r="E37" s="38" t="str">
        <f>IFERROR(D193/C193,"")</f>
        <v/>
      </c>
    </row>
    <row r="38" spans="2:9" ht="18" customHeight="1" x14ac:dyDescent="0.2">
      <c r="B38" s="29" t="str">
        <f>B205</f>
        <v>Budowanie oszczędności</v>
      </c>
      <c r="C38" s="60">
        <f>D205</f>
        <v>0</v>
      </c>
      <c r="D38" s="61"/>
      <c r="E38" s="38" t="str">
        <f>IFERROR(D205/C205,"")</f>
        <v/>
      </c>
    </row>
    <row r="39" spans="2:9" ht="18" customHeight="1" x14ac:dyDescent="0.2">
      <c r="B39" s="29" t="str">
        <f>B217</f>
        <v>INNE 1</v>
      </c>
      <c r="C39" s="60">
        <f>D217</f>
        <v>0</v>
      </c>
      <c r="D39" s="61"/>
      <c r="E39" s="38" t="str">
        <f>IFERROR(D217/C217,"")</f>
        <v/>
      </c>
    </row>
    <row r="40" spans="2:9" ht="18" customHeight="1" x14ac:dyDescent="0.2">
      <c r="B40" s="29" t="str">
        <f>B229</f>
        <v>INNE 2</v>
      </c>
      <c r="C40" s="60">
        <f>D229</f>
        <v>0</v>
      </c>
      <c r="D40" s="72"/>
      <c r="E40" s="38" t="str">
        <f>IFERROR(D229/C229,"")</f>
        <v/>
      </c>
    </row>
    <row r="41" spans="2:9" ht="18" customHeight="1" x14ac:dyDescent="0.2">
      <c r="B41" s="29" t="str">
        <f>B241</f>
        <v>INNE 3</v>
      </c>
      <c r="C41" s="60">
        <f>D241</f>
        <v>0</v>
      </c>
      <c r="D41" s="72"/>
      <c r="E41" s="38" t="str">
        <f>IFERROR(D241/C241,"")</f>
        <v/>
      </c>
    </row>
    <row r="42" spans="2:9" ht="18" x14ac:dyDescent="0.2">
      <c r="B42" s="29"/>
      <c r="D42" s="30"/>
      <c r="E42" s="18"/>
    </row>
    <row r="43" spans="2:9" x14ac:dyDescent="0.2">
      <c r="B43" s="18"/>
      <c r="C43" s="18"/>
      <c r="D43" s="18"/>
      <c r="E43" s="18"/>
    </row>
    <row r="44" spans="2:9" ht="22" thickBot="1" x14ac:dyDescent="0.3">
      <c r="B44" s="32" t="s">
        <v>42</v>
      </c>
      <c r="C44" s="33"/>
      <c r="D44" s="33"/>
      <c r="E44" s="33"/>
      <c r="F44" s="33"/>
      <c r="G44" s="33"/>
    </row>
    <row r="46" spans="2:9" ht="21" x14ac:dyDescent="0.25">
      <c r="B46" s="44" t="s">
        <v>26</v>
      </c>
      <c r="I46" s="7" t="s">
        <v>43</v>
      </c>
    </row>
    <row r="47" spans="2:9" x14ac:dyDescent="0.2">
      <c r="B47" s="1"/>
    </row>
    <row r="48" spans="2:9" ht="30" x14ac:dyDescent="0.2">
      <c r="B48" s="8" t="s">
        <v>0</v>
      </c>
      <c r="C48" s="9" t="s">
        <v>127</v>
      </c>
      <c r="D48" s="10" t="s">
        <v>128</v>
      </c>
      <c r="E48" s="8" t="s">
        <v>129</v>
      </c>
      <c r="F48" s="9" t="s">
        <v>140</v>
      </c>
      <c r="G48" s="8" t="s">
        <v>41</v>
      </c>
      <c r="I48" s="41" t="s">
        <v>159</v>
      </c>
    </row>
    <row r="49" spans="2:39" ht="26" customHeight="1" x14ac:dyDescent="0.2">
      <c r="B49" s="39" t="s">
        <v>139</v>
      </c>
      <c r="C49" s="40">
        <f>C51</f>
        <v>0</v>
      </c>
      <c r="D49" s="40">
        <f>D51</f>
        <v>0</v>
      </c>
      <c r="E49" s="40">
        <f>D49-C49</f>
        <v>0</v>
      </c>
      <c r="F49" s="8" t="s">
        <v>141</v>
      </c>
      <c r="G49" s="8"/>
      <c r="I49" s="43">
        <f>SUM(I52:I67)</f>
        <v>0</v>
      </c>
      <c r="J49" s="43">
        <f>SUM(J52:J67)</f>
        <v>0</v>
      </c>
      <c r="K49" s="43">
        <f t="shared" ref="K49:AM49" si="0">SUM(K52:K67)</f>
        <v>0</v>
      </c>
      <c r="L49" s="43">
        <f t="shared" si="0"/>
        <v>0</v>
      </c>
      <c r="M49" s="43">
        <f t="shared" si="0"/>
        <v>0</v>
      </c>
      <c r="N49" s="43">
        <f t="shared" si="0"/>
        <v>0</v>
      </c>
      <c r="O49" s="43">
        <f t="shared" si="0"/>
        <v>0</v>
      </c>
      <c r="P49" s="43">
        <f t="shared" si="0"/>
        <v>0</v>
      </c>
      <c r="Q49" s="43">
        <f t="shared" si="0"/>
        <v>0</v>
      </c>
      <c r="R49" s="43">
        <f t="shared" si="0"/>
        <v>0</v>
      </c>
      <c r="S49" s="43">
        <f t="shared" si="0"/>
        <v>0</v>
      </c>
      <c r="T49" s="43">
        <f t="shared" si="0"/>
        <v>0</v>
      </c>
      <c r="U49" s="43">
        <f t="shared" si="0"/>
        <v>0</v>
      </c>
      <c r="V49" s="43">
        <f t="shared" si="0"/>
        <v>0</v>
      </c>
      <c r="W49" s="43">
        <f t="shared" si="0"/>
        <v>0</v>
      </c>
      <c r="X49" s="43">
        <f t="shared" si="0"/>
        <v>0</v>
      </c>
      <c r="Y49" s="43">
        <f t="shared" si="0"/>
        <v>0</v>
      </c>
      <c r="Z49" s="43">
        <f t="shared" si="0"/>
        <v>0</v>
      </c>
      <c r="AA49" s="43">
        <f t="shared" si="0"/>
        <v>0</v>
      </c>
      <c r="AB49" s="43">
        <f t="shared" si="0"/>
        <v>0</v>
      </c>
      <c r="AC49" s="43">
        <f t="shared" si="0"/>
        <v>0</v>
      </c>
      <c r="AD49" s="43">
        <f t="shared" si="0"/>
        <v>0</v>
      </c>
      <c r="AE49" s="43">
        <f t="shared" si="0"/>
        <v>0</v>
      </c>
      <c r="AF49" s="43">
        <f t="shared" si="0"/>
        <v>0</v>
      </c>
      <c r="AG49" s="43">
        <f t="shared" si="0"/>
        <v>0</v>
      </c>
      <c r="AH49" s="43">
        <f t="shared" si="0"/>
        <v>0</v>
      </c>
      <c r="AI49" s="43">
        <f t="shared" si="0"/>
        <v>0</v>
      </c>
      <c r="AJ49" s="43">
        <f t="shared" si="0"/>
        <v>0</v>
      </c>
      <c r="AK49" s="43">
        <f t="shared" si="0"/>
        <v>0</v>
      </c>
      <c r="AL49" s="43">
        <f t="shared" si="0"/>
        <v>0</v>
      </c>
      <c r="AM49" s="43">
        <f t="shared" si="0"/>
        <v>0</v>
      </c>
    </row>
    <row r="50" spans="2:39" x14ac:dyDescent="0.2">
      <c r="B50" s="1"/>
    </row>
    <row r="51" spans="2:39" x14ac:dyDescent="0.2">
      <c r="B51" s="14" t="str">
        <f>'Wzorzec kategorii'!B14</f>
        <v>Całkowite przychody</v>
      </c>
      <c r="C51" s="15">
        <f>SUM(Tabela718259[[#All],[Kolumna2]])</f>
        <v>0</v>
      </c>
      <c r="D51" s="16">
        <f>SUM(Tabela718259[[#All],[Kolumna3]])</f>
        <v>0</v>
      </c>
      <c r="E51" s="15">
        <f>D51-C51</f>
        <v>0</v>
      </c>
      <c r="F51" s="17" t="str">
        <f>IFERROR(D51/C51,"")</f>
        <v/>
      </c>
      <c r="G51" s="15"/>
      <c r="I51" s="11" t="s">
        <v>44</v>
      </c>
      <c r="J51" s="11" t="s">
        <v>45</v>
      </c>
      <c r="K51" s="11" t="s">
        <v>46</v>
      </c>
      <c r="L51" s="11" t="s">
        <v>47</v>
      </c>
      <c r="M51" s="11" t="s">
        <v>48</v>
      </c>
      <c r="N51" s="11" t="s">
        <v>49</v>
      </c>
      <c r="O51" s="11" t="s">
        <v>50</v>
      </c>
      <c r="P51" s="11" t="s">
        <v>51</v>
      </c>
      <c r="Q51" s="11" t="s">
        <v>52</v>
      </c>
      <c r="R51" s="11" t="s">
        <v>53</v>
      </c>
      <c r="S51" s="11" t="s">
        <v>54</v>
      </c>
      <c r="T51" s="11" t="s">
        <v>55</v>
      </c>
      <c r="U51" s="11" t="s">
        <v>56</v>
      </c>
      <c r="V51" s="11" t="s">
        <v>57</v>
      </c>
      <c r="W51" s="11" t="s">
        <v>58</v>
      </c>
      <c r="X51" s="11" t="s">
        <v>59</v>
      </c>
      <c r="Y51" s="11" t="s">
        <v>60</v>
      </c>
      <c r="Z51" s="11" t="s">
        <v>61</v>
      </c>
      <c r="AA51" s="11" t="s">
        <v>62</v>
      </c>
      <c r="AB51" s="11" t="s">
        <v>63</v>
      </c>
      <c r="AC51" s="11" t="s">
        <v>64</v>
      </c>
      <c r="AD51" s="11" t="s">
        <v>65</v>
      </c>
      <c r="AE51" s="11" t="s">
        <v>66</v>
      </c>
      <c r="AF51" s="11" t="s">
        <v>67</v>
      </c>
      <c r="AG51" s="11" t="s">
        <v>68</v>
      </c>
      <c r="AH51" s="11" t="s">
        <v>69</v>
      </c>
      <c r="AI51" s="11" t="s">
        <v>70</v>
      </c>
      <c r="AJ51" s="11" t="s">
        <v>71</v>
      </c>
      <c r="AK51" s="11" t="s">
        <v>72</v>
      </c>
      <c r="AL51" s="11" t="s">
        <v>73</v>
      </c>
      <c r="AM51" s="11" t="s">
        <v>74</v>
      </c>
    </row>
    <row r="52" spans="2:39" x14ac:dyDescent="0.2">
      <c r="B52" s="22" t="str">
        <f>'Wzorzec kategorii'!B15</f>
        <v>Wynagrodzenie</v>
      </c>
      <c r="C52" s="19">
        <v>0</v>
      </c>
      <c r="D52" s="47">
        <f>SUM(Tabela33064288[#This Row])</f>
        <v>0</v>
      </c>
      <c r="E52" s="20">
        <f>Tabela718259[[#This Row],[Kolumna3]]-Tabela718259[[#This Row],[Kolumna2]]</f>
        <v>0</v>
      </c>
      <c r="F52" s="21" t="str">
        <f t="shared" ref="F52:F66" si="1">IFERROR(D52/C52,"")</f>
        <v/>
      </c>
      <c r="G52" s="2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ht="30" x14ac:dyDescent="0.2">
      <c r="B53" s="22" t="str">
        <f>'Wzorzec kategorii'!B16</f>
        <v>Wynagrodzenie Partnera / Partnerki</v>
      </c>
      <c r="C53" s="19">
        <v>0</v>
      </c>
      <c r="D53" s="47">
        <f>SUM(Tabela33064288[#This Row])</f>
        <v>0</v>
      </c>
      <c r="E53" s="20">
        <f>Tabela718259[[#This Row],[Kolumna3]]-Tabela718259[[#This Row],[Kolumna2]]</f>
        <v>0</v>
      </c>
      <c r="F53" s="21" t="str">
        <f t="shared" si="1"/>
        <v/>
      </c>
      <c r="G53" s="2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x14ac:dyDescent="0.2">
      <c r="B54" s="22" t="str">
        <f>'Wzorzec kategorii'!B17</f>
        <v>Premia</v>
      </c>
      <c r="C54" s="19">
        <v>0</v>
      </c>
      <c r="D54" s="47">
        <f>SUM(Tabela33064288[#This Row])</f>
        <v>0</v>
      </c>
      <c r="E54" s="20">
        <f>Tabela718259[[#This Row],[Kolumna3]]-Tabela718259[[#This Row],[Kolumna2]]</f>
        <v>0</v>
      </c>
      <c r="F54" s="21" t="str">
        <f t="shared" si="1"/>
        <v/>
      </c>
      <c r="G54" s="2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x14ac:dyDescent="0.2">
      <c r="B55" s="22" t="str">
        <f>'Wzorzec kategorii'!B18</f>
        <v>Przychody z premii bankowych</v>
      </c>
      <c r="C55" s="19">
        <v>0</v>
      </c>
      <c r="D55" s="47">
        <f>SUM(Tabela33064288[#This Row])</f>
        <v>0</v>
      </c>
      <c r="E55" s="20">
        <f>Tabela718259[[#This Row],[Kolumna3]]-Tabela718259[[#This Row],[Kolumna2]]</f>
        <v>0</v>
      </c>
      <c r="F55" s="21" t="str">
        <f t="shared" si="1"/>
        <v/>
      </c>
      <c r="G55" s="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x14ac:dyDescent="0.2">
      <c r="B56" s="22" t="str">
        <f>'Wzorzec kategorii'!B19</f>
        <v>Odsetki bankowe</v>
      </c>
      <c r="C56" s="19">
        <v>0</v>
      </c>
      <c r="D56" s="47">
        <f>SUM(Tabela33064288[#This Row])</f>
        <v>0</v>
      </c>
      <c r="E56" s="20">
        <f>Tabela718259[[#This Row],[Kolumna3]]-Tabela718259[[#This Row],[Kolumna2]]</f>
        <v>0</v>
      </c>
      <c r="F56" s="21" t="str">
        <f t="shared" si="1"/>
        <v/>
      </c>
      <c r="G56" s="2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2:39" x14ac:dyDescent="0.2">
      <c r="B57" s="22" t="str">
        <f>'Wzorzec kategorii'!B20</f>
        <v>Sprzedaż na Allegro itp.</v>
      </c>
      <c r="C57" s="19">
        <v>0</v>
      </c>
      <c r="D57" s="47">
        <f>SUM(Tabela33064288[#This Row])</f>
        <v>0</v>
      </c>
      <c r="E57" s="20">
        <f>Tabela718259[[#This Row],[Kolumna3]]-Tabela718259[[#This Row],[Kolumna2]]</f>
        <v>0</v>
      </c>
      <c r="F57" s="21" t="str">
        <f t="shared" si="1"/>
        <v/>
      </c>
      <c r="G57" s="2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9" x14ac:dyDescent="0.2">
      <c r="B58" s="22" t="str">
        <f>'Wzorzec kategorii'!B21</f>
        <v>Inne przychody</v>
      </c>
      <c r="C58" s="19">
        <v>0</v>
      </c>
      <c r="D58" s="47">
        <f>SUM(Tabela33064288[#This Row])</f>
        <v>0</v>
      </c>
      <c r="E58" s="20">
        <f>Tabela718259[[#This Row],[Kolumna3]]-Tabela718259[[#This Row],[Kolumna2]]</f>
        <v>0</v>
      </c>
      <c r="F58" s="21" t="str">
        <f t="shared" si="1"/>
        <v/>
      </c>
      <c r="G58" s="2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2:39" x14ac:dyDescent="0.2">
      <c r="B59" s="22" t="str">
        <f>'Wzorzec kategorii'!B22</f>
        <v>.</v>
      </c>
      <c r="C59" s="19">
        <v>0</v>
      </c>
      <c r="D59" s="47">
        <f>SUM(Tabela33064288[#This Row])</f>
        <v>0</v>
      </c>
      <c r="E59" s="20">
        <f>Tabela718259[[#This Row],[Kolumna3]]-Tabela718259[[#This Row],[Kolumna2]]</f>
        <v>0</v>
      </c>
      <c r="F59" s="53" t="str">
        <f t="shared" si="1"/>
        <v/>
      </c>
      <c r="G59" s="2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2:39" x14ac:dyDescent="0.2">
      <c r="B60" s="22" t="str">
        <f>'Wzorzec kategorii'!B23</f>
        <v>.</v>
      </c>
      <c r="C60" s="19">
        <v>0</v>
      </c>
      <c r="D60" s="47">
        <f>SUM(Tabela33064288[#This Row])</f>
        <v>0</v>
      </c>
      <c r="E60" s="20">
        <f>Tabela718259[[#This Row],[Kolumna3]]-Tabela718259[[#This Row],[Kolumna2]]</f>
        <v>0</v>
      </c>
      <c r="F60" s="53" t="str">
        <f t="shared" si="1"/>
        <v/>
      </c>
      <c r="G60" s="2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2:39" x14ac:dyDescent="0.2">
      <c r="B61" s="22" t="str">
        <f>'Wzorzec kategorii'!B24</f>
        <v>.</v>
      </c>
      <c r="C61" s="19">
        <v>0</v>
      </c>
      <c r="D61" s="47">
        <f>SUM(Tabela33064288[#This Row])</f>
        <v>0</v>
      </c>
      <c r="E61" s="20">
        <f>Tabela718259[[#This Row],[Kolumna3]]-Tabela718259[[#This Row],[Kolumna2]]</f>
        <v>0</v>
      </c>
      <c r="F61" s="53" t="str">
        <f t="shared" si="1"/>
        <v/>
      </c>
      <c r="G61" s="2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2:39" x14ac:dyDescent="0.2">
      <c r="B62" s="22" t="str">
        <f>'Wzorzec kategorii'!B25</f>
        <v>.</v>
      </c>
      <c r="C62" s="19">
        <v>0</v>
      </c>
      <c r="D62" s="47">
        <f>SUM(Tabela33064288[#This Row])</f>
        <v>0</v>
      </c>
      <c r="E62" s="20">
        <f>Tabela718259[[#This Row],[Kolumna3]]-Tabela718259[[#This Row],[Kolumna2]]</f>
        <v>0</v>
      </c>
      <c r="F62" s="53" t="str">
        <f t="shared" si="1"/>
        <v/>
      </c>
      <c r="G62" s="2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:39" x14ac:dyDescent="0.2">
      <c r="B63" s="22" t="str">
        <f>'Wzorzec kategorii'!B26</f>
        <v>.</v>
      </c>
      <c r="C63" s="19">
        <v>0</v>
      </c>
      <c r="D63" s="47">
        <f>SUM(Tabela33064288[#This Row])</f>
        <v>0</v>
      </c>
      <c r="E63" s="20">
        <f>Tabela718259[[#This Row],[Kolumna3]]-Tabela718259[[#This Row],[Kolumna2]]</f>
        <v>0</v>
      </c>
      <c r="F63" s="53" t="str">
        <f t="shared" si="1"/>
        <v/>
      </c>
      <c r="G63" s="2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x14ac:dyDescent="0.2">
      <c r="B64" s="22" t="str">
        <f>'Wzorzec kategorii'!B27</f>
        <v>.</v>
      </c>
      <c r="C64" s="19">
        <v>0</v>
      </c>
      <c r="D64" s="47">
        <f>SUM(Tabela33064288[#This Row])</f>
        <v>0</v>
      </c>
      <c r="E64" s="20">
        <f>Tabela718259[[#This Row],[Kolumna3]]-Tabela718259[[#This Row],[Kolumna2]]</f>
        <v>0</v>
      </c>
      <c r="F64" s="53" t="str">
        <f t="shared" si="1"/>
        <v/>
      </c>
      <c r="G64" s="2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:39" x14ac:dyDescent="0.2">
      <c r="B65" s="22" t="str">
        <f>'Wzorzec kategorii'!B28</f>
        <v>.</v>
      </c>
      <c r="C65" s="19">
        <v>0</v>
      </c>
      <c r="D65" s="47">
        <f>SUM(Tabela33064288[#This Row])</f>
        <v>0</v>
      </c>
      <c r="E65" s="20">
        <f>Tabela718259[[#This Row],[Kolumna3]]-Tabela718259[[#This Row],[Kolumna2]]</f>
        <v>0</v>
      </c>
      <c r="F65" s="53" t="str">
        <f t="shared" si="1"/>
        <v/>
      </c>
      <c r="G65" s="2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39" x14ac:dyDescent="0.2">
      <c r="B66" s="22" t="str">
        <f>'Wzorzec kategorii'!B29</f>
        <v>.</v>
      </c>
      <c r="C66" s="19">
        <v>0</v>
      </c>
      <c r="D66" s="47">
        <f>SUM(Tabela33064288[#This Row])</f>
        <v>0</v>
      </c>
      <c r="E66" s="20">
        <f>Tabela718259[[#This Row],[Kolumna3]]-Tabela718259[[#This Row],[Kolumna2]]</f>
        <v>0</v>
      </c>
      <c r="F66" s="53" t="str">
        <f t="shared" si="1"/>
        <v/>
      </c>
      <c r="G66" s="2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:39" x14ac:dyDescent="0.2">
      <c r="B67" s="5" t="s">
        <v>30</v>
      </c>
    </row>
    <row r="68" spans="2:39" ht="21" x14ac:dyDescent="0.25">
      <c r="B68" s="44" t="s">
        <v>25</v>
      </c>
      <c r="I68" s="7" t="s">
        <v>43</v>
      </c>
    </row>
    <row r="70" spans="2:39" ht="30" x14ac:dyDescent="0.2">
      <c r="B70" s="8" t="s">
        <v>0</v>
      </c>
      <c r="C70" s="9" t="s">
        <v>131</v>
      </c>
      <c r="D70" s="10" t="s">
        <v>135</v>
      </c>
      <c r="E70" s="8" t="s">
        <v>129</v>
      </c>
      <c r="F70" s="9" t="s">
        <v>140</v>
      </c>
      <c r="G70" s="8" t="s">
        <v>41</v>
      </c>
      <c r="I70" s="41" t="s">
        <v>142</v>
      </c>
    </row>
    <row r="71" spans="2:39" ht="24" customHeight="1" x14ac:dyDescent="0.2">
      <c r="B71" s="39" t="s">
        <v>139</v>
      </c>
      <c r="C71" s="40">
        <f>C73+C85+C97+C109+C121+C133+C145+C157+C169+C181+C193+C205+C217+C229+C241</f>
        <v>0</v>
      </c>
      <c r="D71" s="40">
        <f>D73+D85+D97+D109+D121+D133+D145+D157+D169+D181+D193+D205+D217+D229+D241</f>
        <v>0</v>
      </c>
      <c r="E71" s="40">
        <f>C71-D71</f>
        <v>0</v>
      </c>
      <c r="F71" s="8" t="s">
        <v>141</v>
      </c>
      <c r="G71" s="8"/>
      <c r="I71" s="43">
        <f>SUM(I73:I251)</f>
        <v>0</v>
      </c>
      <c r="J71" s="43">
        <f>SUM(J73:J251)</f>
        <v>0</v>
      </c>
      <c r="K71" s="43">
        <f t="shared" ref="K71:AM71" si="2">SUM(K73:K251)</f>
        <v>0</v>
      </c>
      <c r="L71" s="43">
        <f t="shared" si="2"/>
        <v>0</v>
      </c>
      <c r="M71" s="43">
        <f t="shared" si="2"/>
        <v>0</v>
      </c>
      <c r="N71" s="43">
        <f t="shared" si="2"/>
        <v>0</v>
      </c>
      <c r="O71" s="43">
        <f t="shared" si="2"/>
        <v>0</v>
      </c>
      <c r="P71" s="43">
        <f t="shared" si="2"/>
        <v>0</v>
      </c>
      <c r="Q71" s="43">
        <f t="shared" si="2"/>
        <v>0</v>
      </c>
      <c r="R71" s="43">
        <f t="shared" si="2"/>
        <v>0</v>
      </c>
      <c r="S71" s="43">
        <f t="shared" si="2"/>
        <v>0</v>
      </c>
      <c r="T71" s="43">
        <f t="shared" si="2"/>
        <v>0</v>
      </c>
      <c r="U71" s="43">
        <f t="shared" si="2"/>
        <v>0</v>
      </c>
      <c r="V71" s="43">
        <f t="shared" si="2"/>
        <v>0</v>
      </c>
      <c r="W71" s="43">
        <f t="shared" si="2"/>
        <v>0</v>
      </c>
      <c r="X71" s="43">
        <f t="shared" si="2"/>
        <v>0</v>
      </c>
      <c r="Y71" s="43">
        <f t="shared" si="2"/>
        <v>0</v>
      </c>
      <c r="Z71" s="43">
        <f t="shared" si="2"/>
        <v>0</v>
      </c>
      <c r="AA71" s="43">
        <f t="shared" si="2"/>
        <v>0</v>
      </c>
      <c r="AB71" s="43">
        <f t="shared" si="2"/>
        <v>0</v>
      </c>
      <c r="AC71" s="43">
        <f t="shared" si="2"/>
        <v>0</v>
      </c>
      <c r="AD71" s="43">
        <f t="shared" si="2"/>
        <v>0</v>
      </c>
      <c r="AE71" s="43">
        <f t="shared" si="2"/>
        <v>0</v>
      </c>
      <c r="AF71" s="43">
        <f t="shared" si="2"/>
        <v>0</v>
      </c>
      <c r="AG71" s="43">
        <f t="shared" si="2"/>
        <v>0</v>
      </c>
      <c r="AH71" s="43">
        <f t="shared" si="2"/>
        <v>0</v>
      </c>
      <c r="AI71" s="43">
        <f t="shared" si="2"/>
        <v>0</v>
      </c>
      <c r="AJ71" s="43">
        <f t="shared" si="2"/>
        <v>0</v>
      </c>
      <c r="AK71" s="43">
        <f t="shared" si="2"/>
        <v>0</v>
      </c>
      <c r="AL71" s="43">
        <f t="shared" si="2"/>
        <v>0</v>
      </c>
      <c r="AM71" s="43">
        <f t="shared" si="2"/>
        <v>0</v>
      </c>
    </row>
    <row r="73" spans="2:39" x14ac:dyDescent="0.2">
      <c r="B73" s="14" t="str">
        <f>'Wzorzec kategorii'!B35</f>
        <v>Jedzenie</v>
      </c>
      <c r="C73" s="15">
        <f>SUM(Jedzenie2257[[#All],[0]])</f>
        <v>0</v>
      </c>
      <c r="D73" s="16">
        <f>SUM(Jedzenie2257[[#All],[02]])</f>
        <v>0</v>
      </c>
      <c r="E73" s="15">
        <f t="shared" ref="E73:E83" si="3">C73-D73</f>
        <v>0</v>
      </c>
      <c r="F73" s="17" t="str">
        <f t="shared" ref="F73:F83" si="4">IFERROR(D73/C73,"")</f>
        <v/>
      </c>
      <c r="G73" s="23"/>
      <c r="I73" s="11" t="s">
        <v>44</v>
      </c>
      <c r="J73" s="11" t="s">
        <v>45</v>
      </c>
      <c r="K73" s="11" t="s">
        <v>46</v>
      </c>
      <c r="L73" s="11" t="s">
        <v>47</v>
      </c>
      <c r="M73" s="11" t="s">
        <v>48</v>
      </c>
      <c r="N73" s="11" t="s">
        <v>49</v>
      </c>
      <c r="O73" s="11" t="s">
        <v>50</v>
      </c>
      <c r="P73" s="11" t="s">
        <v>51</v>
      </c>
      <c r="Q73" s="11" t="s">
        <v>52</v>
      </c>
      <c r="R73" s="11" t="s">
        <v>53</v>
      </c>
      <c r="S73" s="11" t="s">
        <v>54</v>
      </c>
      <c r="T73" s="11" t="s">
        <v>55</v>
      </c>
      <c r="U73" s="11" t="s">
        <v>56</v>
      </c>
      <c r="V73" s="11" t="s">
        <v>57</v>
      </c>
      <c r="W73" s="11" t="s">
        <v>58</v>
      </c>
      <c r="X73" s="11" t="s">
        <v>59</v>
      </c>
      <c r="Y73" s="11" t="s">
        <v>60</v>
      </c>
      <c r="Z73" s="11" t="s">
        <v>61</v>
      </c>
      <c r="AA73" s="11" t="s">
        <v>62</v>
      </c>
      <c r="AB73" s="11" t="s">
        <v>63</v>
      </c>
      <c r="AC73" s="11" t="s">
        <v>64</v>
      </c>
      <c r="AD73" s="11" t="s">
        <v>65</v>
      </c>
      <c r="AE73" s="11" t="s">
        <v>66</v>
      </c>
      <c r="AF73" s="11" t="s">
        <v>67</v>
      </c>
      <c r="AG73" s="11" t="s">
        <v>68</v>
      </c>
      <c r="AH73" s="11" t="s">
        <v>69</v>
      </c>
      <c r="AI73" s="11" t="s">
        <v>70</v>
      </c>
      <c r="AJ73" s="11" t="s">
        <v>71</v>
      </c>
      <c r="AK73" s="11" t="s">
        <v>72</v>
      </c>
      <c r="AL73" s="11" t="s">
        <v>73</v>
      </c>
      <c r="AM73" s="11" t="s">
        <v>74</v>
      </c>
    </row>
    <row r="74" spans="2:39" x14ac:dyDescent="0.2">
      <c r="B74" s="22" t="str">
        <f>'Wzorzec kategorii'!B36</f>
        <v>Jedzenie dom</v>
      </c>
      <c r="C74" s="19">
        <v>0</v>
      </c>
      <c r="D74" s="20">
        <f>SUM(Tabela330260[#This Row])</f>
        <v>0</v>
      </c>
      <c r="E74" s="20">
        <f t="shared" si="3"/>
        <v>0</v>
      </c>
      <c r="F74" s="21" t="str">
        <f t="shared" si="4"/>
        <v/>
      </c>
      <c r="G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2:39" x14ac:dyDescent="0.2">
      <c r="B75" s="22" t="str">
        <f>'Wzorzec kategorii'!B37</f>
        <v>Jedzenie miasto</v>
      </c>
      <c r="C75" s="19">
        <v>0</v>
      </c>
      <c r="D75" s="20">
        <f>SUM(Tabela330260[#This Row])</f>
        <v>0</v>
      </c>
      <c r="E75" s="20">
        <f t="shared" si="3"/>
        <v>0</v>
      </c>
      <c r="F75" s="21" t="str">
        <f t="shared" si="4"/>
        <v/>
      </c>
      <c r="G75" s="2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:39" x14ac:dyDescent="0.2">
      <c r="B76" s="22" t="str">
        <f>'Wzorzec kategorii'!B38</f>
        <v>Jedzenie praca</v>
      </c>
      <c r="C76" s="19">
        <v>0</v>
      </c>
      <c r="D76" s="20">
        <f>SUM(Tabela330260[#This Row])</f>
        <v>0</v>
      </c>
      <c r="E76" s="20">
        <f t="shared" si="3"/>
        <v>0</v>
      </c>
      <c r="F76" s="21" t="str">
        <f t="shared" si="4"/>
        <v/>
      </c>
      <c r="G76" s="2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2:39" x14ac:dyDescent="0.2">
      <c r="B77" s="22" t="str">
        <f>'Wzorzec kategorii'!B39</f>
        <v>Alkohol</v>
      </c>
      <c r="C77" s="19">
        <v>0</v>
      </c>
      <c r="D77" s="20">
        <f>SUM(Tabela330260[#This Row])</f>
        <v>0</v>
      </c>
      <c r="E77" s="20">
        <f t="shared" si="3"/>
        <v>0</v>
      </c>
      <c r="F77" s="21" t="str">
        <f t="shared" si="4"/>
        <v/>
      </c>
      <c r="G77" s="2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2:39" x14ac:dyDescent="0.2">
      <c r="B78" s="22" t="str">
        <f>'Wzorzec kategorii'!B40</f>
        <v>Inne</v>
      </c>
      <c r="C78" s="19">
        <v>0</v>
      </c>
      <c r="D78" s="20">
        <f>SUM(Tabela330260[#This Row])</f>
        <v>0</v>
      </c>
      <c r="E78" s="20">
        <f t="shared" si="3"/>
        <v>0</v>
      </c>
      <c r="F78" s="21" t="str">
        <f t="shared" si="4"/>
        <v/>
      </c>
      <c r="G78" s="2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:39" x14ac:dyDescent="0.2">
      <c r="B79" s="22" t="str">
        <f>'Wzorzec kategorii'!B41</f>
        <v>.</v>
      </c>
      <c r="C79" s="19">
        <v>0</v>
      </c>
      <c r="D79" s="20">
        <f>SUM(Tabela330260[#This Row])</f>
        <v>0</v>
      </c>
      <c r="E79" s="20">
        <f t="shared" si="3"/>
        <v>0</v>
      </c>
      <c r="F79" s="53" t="str">
        <f t="shared" si="4"/>
        <v/>
      </c>
      <c r="G79" s="5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:39" x14ac:dyDescent="0.2">
      <c r="B80" s="22" t="str">
        <f>'Wzorzec kategorii'!B42</f>
        <v>.</v>
      </c>
      <c r="C80" s="19">
        <v>0</v>
      </c>
      <c r="D80" s="20">
        <f>SUM(Tabela330260[#This Row])</f>
        <v>0</v>
      </c>
      <c r="E80" s="20">
        <f t="shared" si="3"/>
        <v>0</v>
      </c>
      <c r="F80" s="53" t="str">
        <f t="shared" si="4"/>
        <v/>
      </c>
      <c r="G80" s="5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2:41" x14ac:dyDescent="0.2">
      <c r="B81" s="22" t="str">
        <f>'Wzorzec kategorii'!B43</f>
        <v>.</v>
      </c>
      <c r="C81" s="19">
        <v>0</v>
      </c>
      <c r="D81" s="20">
        <f>SUM(Tabela330260[#This Row])</f>
        <v>0</v>
      </c>
      <c r="E81" s="20">
        <f t="shared" si="3"/>
        <v>0</v>
      </c>
      <c r="F81" s="53" t="str">
        <f t="shared" si="4"/>
        <v/>
      </c>
      <c r="G81" s="5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2:41" x14ac:dyDescent="0.2">
      <c r="B82" s="22" t="str">
        <f>'Wzorzec kategorii'!B44</f>
        <v>.</v>
      </c>
      <c r="C82" s="19">
        <v>0</v>
      </c>
      <c r="D82" s="20">
        <f>SUM(Tabela330260[#This Row])</f>
        <v>0</v>
      </c>
      <c r="E82" s="20">
        <f t="shared" si="3"/>
        <v>0</v>
      </c>
      <c r="F82" s="53" t="str">
        <f t="shared" si="4"/>
        <v/>
      </c>
      <c r="G82" s="5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2:41" x14ac:dyDescent="0.2">
      <c r="B83" s="22" t="str">
        <f>'Wzorzec kategorii'!B45</f>
        <v>.</v>
      </c>
      <c r="C83" s="19">
        <v>0</v>
      </c>
      <c r="D83" s="20">
        <f>SUM(Tabela330260[#This Row])</f>
        <v>0</v>
      </c>
      <c r="E83" s="20">
        <f t="shared" si="3"/>
        <v>0</v>
      </c>
      <c r="F83" s="53" t="str">
        <f t="shared" si="4"/>
        <v/>
      </c>
      <c r="G83" s="5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2:41" x14ac:dyDescent="0.2">
      <c r="B84" s="5" t="s">
        <v>30</v>
      </c>
      <c r="C84" s="6"/>
      <c r="D84" s="4"/>
      <c r="E84" s="4"/>
      <c r="F84" s="4"/>
      <c r="G84" s="4"/>
      <c r="I84" s="5" t="s">
        <v>30</v>
      </c>
    </row>
    <row r="85" spans="2:41" x14ac:dyDescent="0.2">
      <c r="B85" s="14" t="str">
        <f>'Wzorzec kategorii'!B47</f>
        <v>Mieszkanie / dom</v>
      </c>
      <c r="C85" s="15">
        <f>SUM(Tabela431261[[#All],[Kolumna2]])</f>
        <v>0</v>
      </c>
      <c r="D85" s="16">
        <f>SUM(Tabela431261[[#All],[Kolumna3]])</f>
        <v>0</v>
      </c>
      <c r="E85" s="15">
        <f>C85-D85</f>
        <v>0</v>
      </c>
      <c r="F85" s="17" t="str">
        <f>IFERROR(D85/C85,"")</f>
        <v/>
      </c>
      <c r="G85" s="23"/>
      <c r="I85" s="11" t="s">
        <v>44</v>
      </c>
      <c r="J85" s="11" t="s">
        <v>45</v>
      </c>
      <c r="K85" s="11" t="s">
        <v>46</v>
      </c>
      <c r="L85" s="11" t="s">
        <v>47</v>
      </c>
      <c r="M85" s="11" t="s">
        <v>48</v>
      </c>
      <c r="N85" s="11" t="s">
        <v>49</v>
      </c>
      <c r="O85" s="11" t="s">
        <v>50</v>
      </c>
      <c r="P85" s="11" t="s">
        <v>51</v>
      </c>
      <c r="Q85" s="11" t="s">
        <v>52</v>
      </c>
      <c r="R85" s="11" t="s">
        <v>53</v>
      </c>
      <c r="S85" s="11" t="s">
        <v>54</v>
      </c>
      <c r="T85" s="11" t="s">
        <v>55</v>
      </c>
      <c r="U85" s="11" t="s">
        <v>56</v>
      </c>
      <c r="V85" s="11" t="s">
        <v>57</v>
      </c>
      <c r="W85" s="11" t="s">
        <v>58</v>
      </c>
      <c r="X85" s="11" t="s">
        <v>59</v>
      </c>
      <c r="Y85" s="11" t="s">
        <v>60</v>
      </c>
      <c r="Z85" s="11" t="s">
        <v>61</v>
      </c>
      <c r="AA85" s="11" t="s">
        <v>62</v>
      </c>
      <c r="AB85" s="11" t="s">
        <v>63</v>
      </c>
      <c r="AC85" s="11" t="s">
        <v>64</v>
      </c>
      <c r="AD85" s="11" t="s">
        <v>65</v>
      </c>
      <c r="AE85" s="11" t="s">
        <v>66</v>
      </c>
      <c r="AF85" s="11" t="s">
        <v>67</v>
      </c>
      <c r="AG85" s="11" t="s">
        <v>68</v>
      </c>
      <c r="AH85" s="11" t="s">
        <v>69</v>
      </c>
      <c r="AI85" s="11" t="s">
        <v>70</v>
      </c>
      <c r="AJ85" s="11" t="s">
        <v>71</v>
      </c>
      <c r="AK85" s="11" t="s">
        <v>72</v>
      </c>
      <c r="AL85" s="11" t="s">
        <v>73</v>
      </c>
      <c r="AM85" s="11" t="s">
        <v>74</v>
      </c>
      <c r="AN85" s="25"/>
      <c r="AO85" s="25"/>
    </row>
    <row r="86" spans="2:41" x14ac:dyDescent="0.2">
      <c r="B86" s="22" t="str">
        <f>'Wzorzec kategorii'!B48</f>
        <v>Czynsz</v>
      </c>
      <c r="C86" s="19">
        <v>0</v>
      </c>
      <c r="D86" s="20">
        <f>SUM(Tabela1841271[#This Row])</f>
        <v>0</v>
      </c>
      <c r="E86" s="20">
        <f t="shared" ref="E86:E95" si="5">C86-D86</f>
        <v>0</v>
      </c>
      <c r="F86" s="21" t="str">
        <f t="shared" ref="F86:F95" si="6">IFERROR(D86/C86,"")</f>
        <v/>
      </c>
      <c r="G86" s="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25"/>
      <c r="AO86" s="25"/>
    </row>
    <row r="87" spans="2:41" x14ac:dyDescent="0.2">
      <c r="B87" s="22" t="str">
        <f>'Wzorzec kategorii'!B49</f>
        <v>Woda i kanalizacja</v>
      </c>
      <c r="C87" s="19">
        <v>0</v>
      </c>
      <c r="D87" s="20">
        <f>SUM(Tabela1841271[#This Row])</f>
        <v>0</v>
      </c>
      <c r="E87" s="20">
        <f t="shared" si="5"/>
        <v>0</v>
      </c>
      <c r="F87" s="21" t="str">
        <f t="shared" si="6"/>
        <v/>
      </c>
      <c r="G87" s="2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25"/>
      <c r="AO87" s="25"/>
    </row>
    <row r="88" spans="2:41" x14ac:dyDescent="0.2">
      <c r="B88" s="22" t="str">
        <f>'Wzorzec kategorii'!B50</f>
        <v>Prąd</v>
      </c>
      <c r="C88" s="19">
        <v>0</v>
      </c>
      <c r="D88" s="20">
        <f>SUM(Tabela1841271[#This Row])</f>
        <v>0</v>
      </c>
      <c r="E88" s="20">
        <f t="shared" si="5"/>
        <v>0</v>
      </c>
      <c r="F88" s="21" t="str">
        <f t="shared" si="6"/>
        <v/>
      </c>
      <c r="G88" s="2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25"/>
      <c r="AO88" s="25"/>
    </row>
    <row r="89" spans="2:41" x14ac:dyDescent="0.2">
      <c r="B89" s="22" t="str">
        <f>'Wzorzec kategorii'!B51</f>
        <v>Gaz</v>
      </c>
      <c r="C89" s="19">
        <v>0</v>
      </c>
      <c r="D89" s="20">
        <f>SUM(Tabela1841271[#This Row])</f>
        <v>0</v>
      </c>
      <c r="E89" s="20">
        <f t="shared" si="5"/>
        <v>0</v>
      </c>
      <c r="F89" s="21" t="str">
        <f t="shared" si="6"/>
        <v/>
      </c>
      <c r="G89" s="2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25"/>
      <c r="AO89" s="25"/>
    </row>
    <row r="90" spans="2:41" x14ac:dyDescent="0.2">
      <c r="B90" s="22" t="str">
        <f>'Wzorzec kategorii'!B52</f>
        <v>Ogrzewanie</v>
      </c>
      <c r="C90" s="19">
        <v>0</v>
      </c>
      <c r="D90" s="20">
        <f>SUM(Tabela1841271[#This Row])</f>
        <v>0</v>
      </c>
      <c r="E90" s="20">
        <f t="shared" si="5"/>
        <v>0</v>
      </c>
      <c r="F90" s="21" t="str">
        <f t="shared" si="6"/>
        <v/>
      </c>
      <c r="G90" s="24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25"/>
      <c r="AO90" s="25"/>
    </row>
    <row r="91" spans="2:41" x14ac:dyDescent="0.2">
      <c r="B91" s="22" t="str">
        <f>'Wzorzec kategorii'!B53</f>
        <v>Wywóz śmieci</v>
      </c>
      <c r="C91" s="19">
        <v>0</v>
      </c>
      <c r="D91" s="20">
        <f>SUM(Tabela1841271[#This Row])</f>
        <v>0</v>
      </c>
      <c r="E91" s="20">
        <f t="shared" si="5"/>
        <v>0</v>
      </c>
      <c r="F91" s="21" t="str">
        <f t="shared" si="6"/>
        <v/>
      </c>
      <c r="G91" s="24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25"/>
      <c r="AO91" s="25"/>
    </row>
    <row r="92" spans="2:41" x14ac:dyDescent="0.2">
      <c r="B92" s="22" t="str">
        <f>'Wzorzec kategorii'!B54</f>
        <v>Konserwacja i naprawy</v>
      </c>
      <c r="C92" s="19">
        <v>0</v>
      </c>
      <c r="D92" s="20">
        <f>SUM(Tabela1841271[#This Row])</f>
        <v>0</v>
      </c>
      <c r="E92" s="20">
        <f t="shared" si="5"/>
        <v>0</v>
      </c>
      <c r="F92" s="21" t="str">
        <f t="shared" si="6"/>
        <v/>
      </c>
      <c r="G92" s="2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25"/>
      <c r="AO92" s="25"/>
    </row>
    <row r="93" spans="2:41" x14ac:dyDescent="0.2">
      <c r="B93" s="22" t="str">
        <f>'Wzorzec kategorii'!B55</f>
        <v>Wyposażenie</v>
      </c>
      <c r="C93" s="19">
        <v>0</v>
      </c>
      <c r="D93" s="20">
        <f>SUM(Tabela1841271[#This Row])</f>
        <v>0</v>
      </c>
      <c r="E93" s="20">
        <f t="shared" si="5"/>
        <v>0</v>
      </c>
      <c r="F93" s="21" t="str">
        <f t="shared" si="6"/>
        <v/>
      </c>
      <c r="G93" s="2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25"/>
      <c r="AO93" s="25"/>
    </row>
    <row r="94" spans="2:41" x14ac:dyDescent="0.2">
      <c r="B94" s="22" t="str">
        <f>'Wzorzec kategorii'!B56</f>
        <v>Ubezpieczenie nieruchomości</v>
      </c>
      <c r="C94" s="19">
        <v>0</v>
      </c>
      <c r="D94" s="20">
        <f>SUM(Tabela1841271[#This Row])</f>
        <v>0</v>
      </c>
      <c r="E94" s="20">
        <f t="shared" si="5"/>
        <v>0</v>
      </c>
      <c r="F94" s="21" t="str">
        <f t="shared" si="6"/>
        <v/>
      </c>
      <c r="G94" s="2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25"/>
      <c r="AO94" s="25"/>
    </row>
    <row r="95" spans="2:41" x14ac:dyDescent="0.2">
      <c r="B95" s="22" t="str">
        <f>'Wzorzec kategorii'!B57</f>
        <v>Inne</v>
      </c>
      <c r="C95" s="19">
        <v>0</v>
      </c>
      <c r="D95" s="20">
        <f>SUM(Tabela1841271[#This Row])</f>
        <v>0</v>
      </c>
      <c r="E95" s="20">
        <f t="shared" si="5"/>
        <v>0</v>
      </c>
      <c r="F95" s="21" t="str">
        <f t="shared" si="6"/>
        <v/>
      </c>
      <c r="G95" s="2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25"/>
      <c r="AO95" s="25"/>
    </row>
    <row r="96" spans="2:41" x14ac:dyDescent="0.2">
      <c r="B96" s="5" t="s">
        <v>30</v>
      </c>
      <c r="C96" s="6"/>
      <c r="D96" s="4"/>
      <c r="E96" s="4"/>
      <c r="F96" s="4"/>
      <c r="G96" s="4"/>
      <c r="I96" s="26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</row>
    <row r="97" spans="2:41" x14ac:dyDescent="0.2">
      <c r="B97" s="2" t="str">
        <f>'Wzorzec kategorii'!B59</f>
        <v>Transport</v>
      </c>
      <c r="C97" s="3">
        <f>SUM(Transport3258[[#All],[Kolumna2]])</f>
        <v>0</v>
      </c>
      <c r="D97" s="16">
        <f>SUM(Transport3258[[#All],[Kolumna3]])</f>
        <v>0</v>
      </c>
      <c r="E97" s="3">
        <f>C97-D97</f>
        <v>0</v>
      </c>
      <c r="F97" s="17" t="str">
        <f>IFERROR(D97/C97,"")</f>
        <v/>
      </c>
      <c r="G97" s="3"/>
      <c r="I97" s="11" t="s">
        <v>44</v>
      </c>
      <c r="J97" s="11" t="s">
        <v>45</v>
      </c>
      <c r="K97" s="11" t="s">
        <v>46</v>
      </c>
      <c r="L97" s="11" t="s">
        <v>47</v>
      </c>
      <c r="M97" s="11" t="s">
        <v>48</v>
      </c>
      <c r="N97" s="11" t="s">
        <v>49</v>
      </c>
      <c r="O97" s="11" t="s">
        <v>50</v>
      </c>
      <c r="P97" s="11" t="s">
        <v>51</v>
      </c>
      <c r="Q97" s="11" t="s">
        <v>52</v>
      </c>
      <c r="R97" s="11" t="s">
        <v>53</v>
      </c>
      <c r="S97" s="11" t="s">
        <v>54</v>
      </c>
      <c r="T97" s="11" t="s">
        <v>55</v>
      </c>
      <c r="U97" s="11" t="s">
        <v>56</v>
      </c>
      <c r="V97" s="11" t="s">
        <v>57</v>
      </c>
      <c r="W97" s="11" t="s">
        <v>58</v>
      </c>
      <c r="X97" s="11" t="s">
        <v>59</v>
      </c>
      <c r="Y97" s="11" t="s">
        <v>60</v>
      </c>
      <c r="Z97" s="11" t="s">
        <v>61</v>
      </c>
      <c r="AA97" s="11" t="s">
        <v>62</v>
      </c>
      <c r="AB97" s="11" t="s">
        <v>63</v>
      </c>
      <c r="AC97" s="11" t="s">
        <v>64</v>
      </c>
      <c r="AD97" s="11" t="s">
        <v>65</v>
      </c>
      <c r="AE97" s="11" t="s">
        <v>66</v>
      </c>
      <c r="AF97" s="11" t="s">
        <v>67</v>
      </c>
      <c r="AG97" s="11" t="s">
        <v>68</v>
      </c>
      <c r="AH97" s="11" t="s">
        <v>69</v>
      </c>
      <c r="AI97" s="11" t="s">
        <v>70</v>
      </c>
      <c r="AJ97" s="11" t="s">
        <v>71</v>
      </c>
      <c r="AK97" s="11" t="s">
        <v>72</v>
      </c>
      <c r="AL97" s="11" t="s">
        <v>73</v>
      </c>
      <c r="AM97" s="11" t="s">
        <v>74</v>
      </c>
      <c r="AN97" s="25"/>
      <c r="AO97" s="25"/>
    </row>
    <row r="98" spans="2:41" x14ac:dyDescent="0.2">
      <c r="B98" s="22" t="str">
        <f>'Wzorzec kategorii'!B60</f>
        <v>Paliwo do auta</v>
      </c>
      <c r="C98" s="19">
        <v>0</v>
      </c>
      <c r="D98" s="20">
        <f>SUM(Tabela1942272[#This Row])</f>
        <v>0</v>
      </c>
      <c r="E98" s="20">
        <f t="shared" ref="E98:E107" si="7">C98-D98</f>
        <v>0</v>
      </c>
      <c r="F98" s="21" t="str">
        <f t="shared" ref="F98:F107" si="8">IFERROR(D98/C98,"")</f>
        <v/>
      </c>
      <c r="G98" s="24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25"/>
      <c r="AO98" s="25"/>
    </row>
    <row r="99" spans="2:41" x14ac:dyDescent="0.2">
      <c r="B99" s="22" t="str">
        <f>'Wzorzec kategorii'!B61</f>
        <v>Przeglądy i naprawy auta</v>
      </c>
      <c r="C99" s="19">
        <v>0</v>
      </c>
      <c r="D99" s="20">
        <f>SUM(Tabela1942272[#This Row])</f>
        <v>0</v>
      </c>
      <c r="E99" s="20">
        <f t="shared" si="7"/>
        <v>0</v>
      </c>
      <c r="F99" s="21" t="str">
        <f t="shared" si="8"/>
        <v/>
      </c>
      <c r="G99" s="2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25"/>
      <c r="AO99" s="25"/>
    </row>
    <row r="100" spans="2:41" ht="30" x14ac:dyDescent="0.2">
      <c r="B100" s="22" t="str">
        <f>'Wzorzec kategorii'!B62</f>
        <v>Wyposażenie dodatkowe (opony)</v>
      </c>
      <c r="C100" s="19">
        <v>0</v>
      </c>
      <c r="D100" s="20">
        <f>SUM(Tabela1942272[#This Row])</f>
        <v>0</v>
      </c>
      <c r="E100" s="20">
        <f t="shared" si="7"/>
        <v>0</v>
      </c>
      <c r="F100" s="21" t="str">
        <f t="shared" si="8"/>
        <v/>
      </c>
      <c r="G100" s="2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25"/>
      <c r="AO100" s="25"/>
    </row>
    <row r="101" spans="2:41" x14ac:dyDescent="0.2">
      <c r="B101" s="22" t="str">
        <f>'Wzorzec kategorii'!B63</f>
        <v>Ubezpieczenie auta</v>
      </c>
      <c r="C101" s="19">
        <v>0</v>
      </c>
      <c r="D101" s="20">
        <f>SUM(Tabela1942272[#This Row])</f>
        <v>0</v>
      </c>
      <c r="E101" s="20">
        <f t="shared" si="7"/>
        <v>0</v>
      </c>
      <c r="F101" s="21" t="str">
        <f t="shared" si="8"/>
        <v/>
      </c>
      <c r="G101" s="2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25"/>
      <c r="AO101" s="25"/>
    </row>
    <row r="102" spans="2:41" x14ac:dyDescent="0.2">
      <c r="B102" s="22" t="str">
        <f>'Wzorzec kategorii'!B64</f>
        <v>Bilet komunikacji miejskiej</v>
      </c>
      <c r="C102" s="19">
        <v>0</v>
      </c>
      <c r="D102" s="20">
        <f>SUM(Tabela1942272[#This Row])</f>
        <v>0</v>
      </c>
      <c r="E102" s="20">
        <f t="shared" si="7"/>
        <v>0</v>
      </c>
      <c r="F102" s="21" t="str">
        <f t="shared" si="8"/>
        <v/>
      </c>
      <c r="G102" s="2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25"/>
      <c r="AO102" s="25"/>
    </row>
    <row r="103" spans="2:41" x14ac:dyDescent="0.2">
      <c r="B103" s="22" t="str">
        <f>'Wzorzec kategorii'!B65</f>
        <v>Bilet PKP, PKS</v>
      </c>
      <c r="C103" s="19">
        <v>0</v>
      </c>
      <c r="D103" s="20">
        <f>SUM(Tabela1942272[#This Row])</f>
        <v>0</v>
      </c>
      <c r="E103" s="20">
        <f t="shared" si="7"/>
        <v>0</v>
      </c>
      <c r="F103" s="21" t="str">
        <f t="shared" si="8"/>
        <v/>
      </c>
      <c r="G103" s="24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25"/>
      <c r="AO103" s="25"/>
    </row>
    <row r="104" spans="2:41" x14ac:dyDescent="0.2">
      <c r="B104" s="22" t="str">
        <f>'Wzorzec kategorii'!B66</f>
        <v>Taxi</v>
      </c>
      <c r="C104" s="19">
        <v>0</v>
      </c>
      <c r="D104" s="20">
        <f>SUM(Tabela1942272[#This Row])</f>
        <v>0</v>
      </c>
      <c r="E104" s="20">
        <f t="shared" si="7"/>
        <v>0</v>
      </c>
      <c r="F104" s="21" t="str">
        <f t="shared" si="8"/>
        <v/>
      </c>
      <c r="G104" s="24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25"/>
      <c r="AO104" s="25"/>
    </row>
    <row r="105" spans="2:41" x14ac:dyDescent="0.2">
      <c r="B105" s="22" t="str">
        <f>'Wzorzec kategorii'!B67</f>
        <v>Inne</v>
      </c>
      <c r="C105" s="19">
        <v>0</v>
      </c>
      <c r="D105" s="20">
        <f>SUM(Tabela1942272[#This Row])</f>
        <v>0</v>
      </c>
      <c r="E105" s="20">
        <f t="shared" si="7"/>
        <v>0</v>
      </c>
      <c r="F105" s="21" t="str">
        <f t="shared" si="8"/>
        <v/>
      </c>
      <c r="G105" s="2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25"/>
      <c r="AO105" s="25"/>
    </row>
    <row r="106" spans="2:41" x14ac:dyDescent="0.2">
      <c r="B106" s="22" t="str">
        <f>'Wzorzec kategorii'!B68</f>
        <v>.</v>
      </c>
      <c r="C106" s="19">
        <v>0</v>
      </c>
      <c r="D106" s="20">
        <f>SUM(Tabela1942272[#This Row])</f>
        <v>0</v>
      </c>
      <c r="E106" s="20">
        <f t="shared" si="7"/>
        <v>0</v>
      </c>
      <c r="F106" s="53" t="str">
        <f t="shared" si="8"/>
        <v/>
      </c>
      <c r="G106" s="54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25"/>
      <c r="AO106" s="25"/>
    </row>
    <row r="107" spans="2:41" x14ac:dyDescent="0.2">
      <c r="B107" s="22" t="str">
        <f>'Wzorzec kategorii'!B69</f>
        <v>.</v>
      </c>
      <c r="C107" s="19">
        <v>0</v>
      </c>
      <c r="D107" s="20">
        <f>SUM(Tabela1942272[#This Row])</f>
        <v>0</v>
      </c>
      <c r="E107" s="20">
        <f t="shared" si="7"/>
        <v>0</v>
      </c>
      <c r="F107" s="53" t="str">
        <f t="shared" si="8"/>
        <v/>
      </c>
      <c r="G107" s="54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25"/>
      <c r="AO107" s="25"/>
    </row>
    <row r="108" spans="2:41" x14ac:dyDescent="0.2">
      <c r="B108" s="5" t="s">
        <v>30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</row>
    <row r="109" spans="2:41" x14ac:dyDescent="0.2">
      <c r="B109" s="2" t="str">
        <f>'Wzorzec kategorii'!B71</f>
        <v>Telekomunikacja</v>
      </c>
      <c r="C109" s="3">
        <f>SUM(Tabela832262[[#All],[Kolumna2]])</f>
        <v>0</v>
      </c>
      <c r="D109" s="16">
        <f>SUM(Tabela832262[[#All],[Kolumna3]])</f>
        <v>0</v>
      </c>
      <c r="E109" s="3">
        <f>C109-D109</f>
        <v>0</v>
      </c>
      <c r="F109" s="17" t="str">
        <f t="shared" ref="F109:F119" si="9">IFERROR(D109/C109,"")</f>
        <v/>
      </c>
      <c r="G109" s="3"/>
      <c r="I109" s="11" t="s">
        <v>44</v>
      </c>
      <c r="J109" s="11" t="s">
        <v>45</v>
      </c>
      <c r="K109" s="11" t="s">
        <v>46</v>
      </c>
      <c r="L109" s="11" t="s">
        <v>47</v>
      </c>
      <c r="M109" s="11" t="s">
        <v>48</v>
      </c>
      <c r="N109" s="11" t="s">
        <v>49</v>
      </c>
      <c r="O109" s="11" t="s">
        <v>50</v>
      </c>
      <c r="P109" s="11" t="s">
        <v>51</v>
      </c>
      <c r="Q109" s="11" t="s">
        <v>52</v>
      </c>
      <c r="R109" s="11" t="s">
        <v>53</v>
      </c>
      <c r="S109" s="11" t="s">
        <v>54</v>
      </c>
      <c r="T109" s="11" t="s">
        <v>55</v>
      </c>
      <c r="U109" s="11" t="s">
        <v>56</v>
      </c>
      <c r="V109" s="11" t="s">
        <v>57</v>
      </c>
      <c r="W109" s="11" t="s">
        <v>58</v>
      </c>
      <c r="X109" s="11" t="s">
        <v>59</v>
      </c>
      <c r="Y109" s="11" t="s">
        <v>60</v>
      </c>
      <c r="Z109" s="11" t="s">
        <v>61</v>
      </c>
      <c r="AA109" s="11" t="s">
        <v>62</v>
      </c>
      <c r="AB109" s="11" t="s">
        <v>63</v>
      </c>
      <c r="AC109" s="11" t="s">
        <v>64</v>
      </c>
      <c r="AD109" s="11" t="s">
        <v>65</v>
      </c>
      <c r="AE109" s="11" t="s">
        <v>66</v>
      </c>
      <c r="AF109" s="11" t="s">
        <v>67</v>
      </c>
      <c r="AG109" s="11" t="s">
        <v>68</v>
      </c>
      <c r="AH109" s="11" t="s">
        <v>69</v>
      </c>
      <c r="AI109" s="11" t="s">
        <v>70</v>
      </c>
      <c r="AJ109" s="11" t="s">
        <v>71</v>
      </c>
      <c r="AK109" s="11" t="s">
        <v>72</v>
      </c>
      <c r="AL109" s="11" t="s">
        <v>73</v>
      </c>
      <c r="AM109" s="11" t="s">
        <v>74</v>
      </c>
      <c r="AN109" s="25"/>
      <c r="AO109" s="25"/>
    </row>
    <row r="110" spans="2:41" x14ac:dyDescent="0.2">
      <c r="B110" s="22" t="str">
        <f>'Wzorzec kategorii'!B72</f>
        <v>Telefon 1</v>
      </c>
      <c r="C110" s="19">
        <v>0</v>
      </c>
      <c r="D110" s="20">
        <f>SUM(Tabela192143273[#This Row])</f>
        <v>0</v>
      </c>
      <c r="E110" s="20">
        <f t="shared" ref="E110:E119" si="10">C110-D110</f>
        <v>0</v>
      </c>
      <c r="F110" s="21" t="str">
        <f t="shared" si="9"/>
        <v/>
      </c>
      <c r="G110" s="24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25"/>
      <c r="AO110" s="25"/>
    </row>
    <row r="111" spans="2:41" x14ac:dyDescent="0.2">
      <c r="B111" s="22" t="str">
        <f>'Wzorzec kategorii'!B73</f>
        <v>Telefon 2</v>
      </c>
      <c r="C111" s="19">
        <v>0</v>
      </c>
      <c r="D111" s="20">
        <f>SUM(Tabela192143273[#This Row])</f>
        <v>0</v>
      </c>
      <c r="E111" s="20">
        <f t="shared" si="10"/>
        <v>0</v>
      </c>
      <c r="F111" s="21" t="str">
        <f t="shared" si="9"/>
        <v/>
      </c>
      <c r="G111" s="24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25"/>
      <c r="AO111" s="25"/>
    </row>
    <row r="112" spans="2:41" x14ac:dyDescent="0.2">
      <c r="B112" s="22" t="str">
        <f>'Wzorzec kategorii'!B74</f>
        <v>TV</v>
      </c>
      <c r="C112" s="19">
        <v>0</v>
      </c>
      <c r="D112" s="20">
        <f>SUM(Tabela192143273[#This Row])</f>
        <v>0</v>
      </c>
      <c r="E112" s="20">
        <f t="shared" si="10"/>
        <v>0</v>
      </c>
      <c r="F112" s="21" t="str">
        <f t="shared" si="9"/>
        <v/>
      </c>
      <c r="G112" s="2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5"/>
      <c r="AO112" s="25"/>
    </row>
    <row r="113" spans="2:41" x14ac:dyDescent="0.2">
      <c r="B113" s="22" t="str">
        <f>'Wzorzec kategorii'!B75</f>
        <v>Internet</v>
      </c>
      <c r="C113" s="19">
        <v>0</v>
      </c>
      <c r="D113" s="20">
        <f>SUM(Tabela192143273[#This Row])</f>
        <v>0</v>
      </c>
      <c r="E113" s="20">
        <f t="shared" si="10"/>
        <v>0</v>
      </c>
      <c r="F113" s="21" t="str">
        <f t="shared" si="9"/>
        <v/>
      </c>
      <c r="G113" s="2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25"/>
      <c r="AO113" s="25"/>
    </row>
    <row r="114" spans="2:41" x14ac:dyDescent="0.2">
      <c r="B114" s="22" t="str">
        <f>'Wzorzec kategorii'!B76</f>
        <v>Inne</v>
      </c>
      <c r="C114" s="19">
        <v>0</v>
      </c>
      <c r="D114" s="20">
        <f>SUM(Tabela192143273[#This Row])</f>
        <v>0</v>
      </c>
      <c r="E114" s="20">
        <f t="shared" si="10"/>
        <v>0</v>
      </c>
      <c r="F114" s="21" t="str">
        <f t="shared" si="9"/>
        <v/>
      </c>
      <c r="G114" s="2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25"/>
      <c r="AO114" s="25"/>
    </row>
    <row r="115" spans="2:41" x14ac:dyDescent="0.2">
      <c r="B115" s="22" t="str">
        <f>'Wzorzec kategorii'!B77</f>
        <v>.</v>
      </c>
      <c r="C115" s="19">
        <v>0</v>
      </c>
      <c r="D115" s="20">
        <f>SUM(Tabela192143273[#This Row])</f>
        <v>0</v>
      </c>
      <c r="E115" s="20">
        <f t="shared" si="10"/>
        <v>0</v>
      </c>
      <c r="F115" s="53" t="str">
        <f t="shared" si="9"/>
        <v/>
      </c>
      <c r="G115" s="54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25"/>
      <c r="AO115" s="25"/>
    </row>
    <row r="116" spans="2:41" x14ac:dyDescent="0.2">
      <c r="B116" s="22" t="str">
        <f>'Wzorzec kategorii'!B78</f>
        <v>.</v>
      </c>
      <c r="C116" s="19">
        <v>0</v>
      </c>
      <c r="D116" s="20">
        <f>SUM(Tabela192143273[#This Row])</f>
        <v>0</v>
      </c>
      <c r="E116" s="20">
        <f t="shared" si="10"/>
        <v>0</v>
      </c>
      <c r="F116" s="53" t="str">
        <f t="shared" si="9"/>
        <v/>
      </c>
      <c r="G116" s="54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25"/>
      <c r="AO116" s="25"/>
    </row>
    <row r="117" spans="2:41" x14ac:dyDescent="0.2">
      <c r="B117" s="22" t="str">
        <f>'Wzorzec kategorii'!B79</f>
        <v>.</v>
      </c>
      <c r="C117" s="19">
        <v>0</v>
      </c>
      <c r="D117" s="20">
        <f>SUM(Tabela192143273[#This Row])</f>
        <v>0</v>
      </c>
      <c r="E117" s="20">
        <f t="shared" si="10"/>
        <v>0</v>
      </c>
      <c r="F117" s="53" t="str">
        <f t="shared" si="9"/>
        <v/>
      </c>
      <c r="G117" s="54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25"/>
      <c r="AO117" s="25"/>
    </row>
    <row r="118" spans="2:41" x14ac:dyDescent="0.2">
      <c r="B118" s="22" t="str">
        <f>'Wzorzec kategorii'!B80</f>
        <v>.</v>
      </c>
      <c r="C118" s="19">
        <v>0</v>
      </c>
      <c r="D118" s="20">
        <f>SUM(Tabela192143273[#This Row])</f>
        <v>0</v>
      </c>
      <c r="E118" s="20">
        <f t="shared" si="10"/>
        <v>0</v>
      </c>
      <c r="F118" s="53" t="str">
        <f t="shared" si="9"/>
        <v/>
      </c>
      <c r="G118" s="54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25"/>
      <c r="AO118" s="25"/>
    </row>
    <row r="119" spans="2:41" x14ac:dyDescent="0.2">
      <c r="B119" s="22" t="str">
        <f>'Wzorzec kategorii'!B81</f>
        <v>.</v>
      </c>
      <c r="C119" s="19">
        <v>0</v>
      </c>
      <c r="D119" s="20">
        <f>SUM(Tabela192143273[#This Row])</f>
        <v>0</v>
      </c>
      <c r="E119" s="20">
        <f t="shared" si="10"/>
        <v>0</v>
      </c>
      <c r="F119" s="53" t="str">
        <f t="shared" si="9"/>
        <v/>
      </c>
      <c r="G119" s="54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25"/>
      <c r="AO119" s="25"/>
    </row>
    <row r="120" spans="2:41" x14ac:dyDescent="0.2"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</row>
    <row r="121" spans="2:41" x14ac:dyDescent="0.2">
      <c r="B121" s="2" t="str">
        <f>'Wzorzec kategorii'!B83</f>
        <v>Opieka zdrowotna</v>
      </c>
      <c r="C121" s="3">
        <f>SUM(Tabela933263[[#All],[Kolumna2]])</f>
        <v>0</v>
      </c>
      <c r="D121" s="16">
        <f>SUM(Tabela933263[[#All],[Kolumna3]])</f>
        <v>0</v>
      </c>
      <c r="E121" s="3">
        <f>C121-D121</f>
        <v>0</v>
      </c>
      <c r="F121" s="17" t="str">
        <f>IFERROR(D121/C121,"")</f>
        <v/>
      </c>
      <c r="G121" s="3"/>
      <c r="I121" s="11" t="s">
        <v>44</v>
      </c>
      <c r="J121" s="11" t="s">
        <v>45</v>
      </c>
      <c r="K121" s="11" t="s">
        <v>46</v>
      </c>
      <c r="L121" s="11" t="s">
        <v>47</v>
      </c>
      <c r="M121" s="11" t="s">
        <v>48</v>
      </c>
      <c r="N121" s="11" t="s">
        <v>49</v>
      </c>
      <c r="O121" s="11" t="s">
        <v>50</v>
      </c>
      <c r="P121" s="11" t="s">
        <v>51</v>
      </c>
      <c r="Q121" s="11" t="s">
        <v>52</v>
      </c>
      <c r="R121" s="11" t="s">
        <v>53</v>
      </c>
      <c r="S121" s="11" t="s">
        <v>54</v>
      </c>
      <c r="T121" s="11" t="s">
        <v>55</v>
      </c>
      <c r="U121" s="11" t="s">
        <v>56</v>
      </c>
      <c r="V121" s="11" t="s">
        <v>57</v>
      </c>
      <c r="W121" s="11" t="s">
        <v>58</v>
      </c>
      <c r="X121" s="11" t="s">
        <v>59</v>
      </c>
      <c r="Y121" s="11" t="s">
        <v>60</v>
      </c>
      <c r="Z121" s="11" t="s">
        <v>61</v>
      </c>
      <c r="AA121" s="11" t="s">
        <v>62</v>
      </c>
      <c r="AB121" s="11" t="s">
        <v>63</v>
      </c>
      <c r="AC121" s="11" t="s">
        <v>64</v>
      </c>
      <c r="AD121" s="11" t="s">
        <v>65</v>
      </c>
      <c r="AE121" s="11" t="s">
        <v>66</v>
      </c>
      <c r="AF121" s="11" t="s">
        <v>67</v>
      </c>
      <c r="AG121" s="11" t="s">
        <v>68</v>
      </c>
      <c r="AH121" s="11" t="s">
        <v>69</v>
      </c>
      <c r="AI121" s="11" t="s">
        <v>70</v>
      </c>
      <c r="AJ121" s="11" t="s">
        <v>71</v>
      </c>
      <c r="AK121" s="11" t="s">
        <v>72</v>
      </c>
      <c r="AL121" s="11" t="s">
        <v>73</v>
      </c>
      <c r="AM121" s="11" t="s">
        <v>74</v>
      </c>
      <c r="AN121" s="25"/>
      <c r="AO121" s="25"/>
    </row>
    <row r="122" spans="2:41" x14ac:dyDescent="0.2">
      <c r="B122" s="22" t="str">
        <f>'Wzorzec kategorii'!B84</f>
        <v>Lekarz</v>
      </c>
      <c r="C122" s="19">
        <v>0</v>
      </c>
      <c r="D122" s="20">
        <f>SUM(Tabela19212547277[#This Row])</f>
        <v>0</v>
      </c>
      <c r="E122" s="20">
        <f t="shared" ref="E122:E131" si="11">C122-D122</f>
        <v>0</v>
      </c>
      <c r="F122" s="21" t="str">
        <f>IFERROR(D122/C122,"")</f>
        <v/>
      </c>
      <c r="G122" s="2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25"/>
      <c r="AO122" s="25"/>
    </row>
    <row r="123" spans="2:41" x14ac:dyDescent="0.2">
      <c r="B123" s="22" t="str">
        <f>'Wzorzec kategorii'!B85</f>
        <v>Badania</v>
      </c>
      <c r="C123" s="19">
        <v>0</v>
      </c>
      <c r="D123" s="20">
        <f>SUM(Tabela19212547277[#This Row])</f>
        <v>0</v>
      </c>
      <c r="E123" s="20">
        <f t="shared" si="11"/>
        <v>0</v>
      </c>
      <c r="F123" s="21" t="str">
        <f>IFERROR(D123/C123,"")</f>
        <v/>
      </c>
      <c r="G123" s="2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25"/>
      <c r="AO123" s="25"/>
    </row>
    <row r="124" spans="2:41" x14ac:dyDescent="0.2">
      <c r="B124" s="22" t="str">
        <f>'Wzorzec kategorii'!B86</f>
        <v>Lekarstwa</v>
      </c>
      <c r="C124" s="19">
        <v>0</v>
      </c>
      <c r="D124" s="20">
        <f>SUM(Tabela19212547277[#This Row])</f>
        <v>0</v>
      </c>
      <c r="E124" s="20">
        <f t="shared" si="11"/>
        <v>0</v>
      </c>
      <c r="F124" s="21" t="str">
        <f>IFERROR(D124/C124,"")</f>
        <v/>
      </c>
      <c r="G124" s="2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25"/>
      <c r="AO124" s="25"/>
    </row>
    <row r="125" spans="2:41" x14ac:dyDescent="0.2">
      <c r="B125" s="22" t="str">
        <f>'Wzorzec kategorii'!B87</f>
        <v>Inne</v>
      </c>
      <c r="C125" s="19">
        <v>0</v>
      </c>
      <c r="D125" s="20">
        <f>SUM(Tabela19212547277[#This Row])</f>
        <v>0</v>
      </c>
      <c r="E125" s="20">
        <f t="shared" si="11"/>
        <v>0</v>
      </c>
      <c r="F125" s="21" t="str">
        <f>IFERROR(D125/C125,"")</f>
        <v/>
      </c>
      <c r="G125" s="24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25"/>
      <c r="AO125" s="25"/>
    </row>
    <row r="126" spans="2:41" x14ac:dyDescent="0.2">
      <c r="B126" s="50" t="str">
        <f>'Wzorzec kategorii'!B88</f>
        <v>.</v>
      </c>
      <c r="C126" s="19">
        <v>0</v>
      </c>
      <c r="D126" s="20">
        <f>SUM(Tabela19212547277[#This Row])</f>
        <v>0</v>
      </c>
      <c r="E126" s="20">
        <f t="shared" si="11"/>
        <v>0</v>
      </c>
      <c r="F126" s="53" t="str">
        <f t="shared" ref="F126:F131" si="12">IFERROR(D126/C126,"")</f>
        <v/>
      </c>
      <c r="G126" s="54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25"/>
      <c r="AO126" s="25"/>
    </row>
    <row r="127" spans="2:41" x14ac:dyDescent="0.2">
      <c r="B127" s="50" t="str">
        <f>'Wzorzec kategorii'!B89</f>
        <v>.</v>
      </c>
      <c r="C127" s="19">
        <v>0</v>
      </c>
      <c r="D127" s="20">
        <f>SUM(Tabela19212547277[#This Row])</f>
        <v>0</v>
      </c>
      <c r="E127" s="20">
        <f t="shared" si="11"/>
        <v>0</v>
      </c>
      <c r="F127" s="53" t="str">
        <f t="shared" si="12"/>
        <v/>
      </c>
      <c r="G127" s="54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25"/>
      <c r="AO127" s="25"/>
    </row>
    <row r="128" spans="2:41" x14ac:dyDescent="0.2">
      <c r="B128" s="50" t="str">
        <f>'Wzorzec kategorii'!B90</f>
        <v>.</v>
      </c>
      <c r="C128" s="19">
        <v>0</v>
      </c>
      <c r="D128" s="20">
        <f>SUM(Tabela19212547277[#This Row])</f>
        <v>0</v>
      </c>
      <c r="E128" s="20">
        <f t="shared" si="11"/>
        <v>0</v>
      </c>
      <c r="F128" s="53" t="str">
        <f t="shared" si="12"/>
        <v/>
      </c>
      <c r="G128" s="54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25"/>
      <c r="AO128" s="25"/>
    </row>
    <row r="129" spans="2:41" x14ac:dyDescent="0.2">
      <c r="B129" s="50" t="str">
        <f>'Wzorzec kategorii'!B91</f>
        <v>.</v>
      </c>
      <c r="C129" s="19">
        <v>0</v>
      </c>
      <c r="D129" s="20">
        <f>SUM(Tabela19212547277[#This Row])</f>
        <v>0</v>
      </c>
      <c r="E129" s="20">
        <f t="shared" si="11"/>
        <v>0</v>
      </c>
      <c r="F129" s="53" t="str">
        <f t="shared" si="12"/>
        <v/>
      </c>
      <c r="G129" s="54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25"/>
      <c r="AO129" s="25"/>
    </row>
    <row r="130" spans="2:41" x14ac:dyDescent="0.2">
      <c r="B130" s="50" t="str">
        <f>'Wzorzec kategorii'!B92</f>
        <v>.</v>
      </c>
      <c r="C130" s="19">
        <v>0</v>
      </c>
      <c r="D130" s="20">
        <f>SUM(Tabela19212547277[#This Row])</f>
        <v>0</v>
      </c>
      <c r="E130" s="20">
        <f t="shared" si="11"/>
        <v>0</v>
      </c>
      <c r="F130" s="53" t="str">
        <f t="shared" si="12"/>
        <v/>
      </c>
      <c r="G130" s="54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25"/>
      <c r="AO130" s="25"/>
    </row>
    <row r="131" spans="2:41" x14ac:dyDescent="0.2">
      <c r="B131" s="50" t="str">
        <f>'Wzorzec kategorii'!B93</f>
        <v>.</v>
      </c>
      <c r="C131" s="19">
        <v>0</v>
      </c>
      <c r="D131" s="20">
        <f>SUM(Tabela19212547277[#This Row])</f>
        <v>0</v>
      </c>
      <c r="E131" s="20">
        <f t="shared" si="11"/>
        <v>0</v>
      </c>
      <c r="F131" s="53" t="str">
        <f t="shared" si="12"/>
        <v/>
      </c>
      <c r="G131" s="54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25"/>
      <c r="AO131" s="25"/>
    </row>
    <row r="132" spans="2:41" x14ac:dyDescent="0.2">
      <c r="B132" s="13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</row>
    <row r="133" spans="2:41" x14ac:dyDescent="0.2">
      <c r="B133" s="2" t="str">
        <f>'Wzorzec kategorii'!B95</f>
        <v>Ubranie</v>
      </c>
      <c r="C133" s="3">
        <f>SUM(Tabela1034264[[#All],[Kolumna2]])</f>
        <v>0</v>
      </c>
      <c r="D133" s="16">
        <f>SUM(Tabela1034264[[#All],[Kolumna3]])</f>
        <v>0</v>
      </c>
      <c r="E133" s="3">
        <f>C133-D133</f>
        <v>0</v>
      </c>
      <c r="F133" s="17" t="str">
        <f t="shared" ref="F133:F143" si="13">IFERROR(D133/C133,"")</f>
        <v/>
      </c>
      <c r="G133" s="3"/>
      <c r="I133" s="11" t="s">
        <v>44</v>
      </c>
      <c r="J133" s="11" t="s">
        <v>45</v>
      </c>
      <c r="K133" s="11" t="s">
        <v>46</v>
      </c>
      <c r="L133" s="11" t="s">
        <v>47</v>
      </c>
      <c r="M133" s="11" t="s">
        <v>48</v>
      </c>
      <c r="N133" s="11" t="s">
        <v>49</v>
      </c>
      <c r="O133" s="11" t="s">
        <v>50</v>
      </c>
      <c r="P133" s="11" t="s">
        <v>51</v>
      </c>
      <c r="Q133" s="11" t="s">
        <v>52</v>
      </c>
      <c r="R133" s="11" t="s">
        <v>53</v>
      </c>
      <c r="S133" s="11" t="s">
        <v>54</v>
      </c>
      <c r="T133" s="11" t="s">
        <v>55</v>
      </c>
      <c r="U133" s="11" t="s">
        <v>56</v>
      </c>
      <c r="V133" s="11" t="s">
        <v>57</v>
      </c>
      <c r="W133" s="11" t="s">
        <v>58</v>
      </c>
      <c r="X133" s="11" t="s">
        <v>59</v>
      </c>
      <c r="Y133" s="11" t="s">
        <v>60</v>
      </c>
      <c r="Z133" s="11" t="s">
        <v>61</v>
      </c>
      <c r="AA133" s="11" t="s">
        <v>62</v>
      </c>
      <c r="AB133" s="11" t="s">
        <v>63</v>
      </c>
      <c r="AC133" s="11" t="s">
        <v>64</v>
      </c>
      <c r="AD133" s="11" t="s">
        <v>65</v>
      </c>
      <c r="AE133" s="11" t="s">
        <v>66</v>
      </c>
      <c r="AF133" s="11" t="s">
        <v>67</v>
      </c>
      <c r="AG133" s="11" t="s">
        <v>68</v>
      </c>
      <c r="AH133" s="11" t="s">
        <v>69</v>
      </c>
      <c r="AI133" s="11" t="s">
        <v>70</v>
      </c>
      <c r="AJ133" s="11" t="s">
        <v>71</v>
      </c>
      <c r="AK133" s="11" t="s">
        <v>72</v>
      </c>
      <c r="AL133" s="11" t="s">
        <v>73</v>
      </c>
      <c r="AM133" s="11" t="s">
        <v>74</v>
      </c>
      <c r="AN133" s="25"/>
      <c r="AO133" s="25"/>
    </row>
    <row r="134" spans="2:41" x14ac:dyDescent="0.2">
      <c r="B134" s="22" t="str">
        <f>'Wzorzec kategorii'!B96</f>
        <v>Ubranie zwykłe</v>
      </c>
      <c r="C134" s="19">
        <v>0</v>
      </c>
      <c r="D134" s="20">
        <f>SUM(Tabela19212446276[#This Row])</f>
        <v>0</v>
      </c>
      <c r="E134" s="20">
        <f t="shared" ref="E134:E143" si="14">C134-D134</f>
        <v>0</v>
      </c>
      <c r="F134" s="21" t="str">
        <f t="shared" si="13"/>
        <v/>
      </c>
      <c r="G134" s="2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25"/>
      <c r="AO134" s="25"/>
    </row>
    <row r="135" spans="2:41" x14ac:dyDescent="0.2">
      <c r="B135" s="22" t="str">
        <f>'Wzorzec kategorii'!B97</f>
        <v>Ubranie sportowe</v>
      </c>
      <c r="C135" s="19">
        <v>0</v>
      </c>
      <c r="D135" s="20">
        <f>SUM(Tabela19212446276[#This Row])</f>
        <v>0</v>
      </c>
      <c r="E135" s="20">
        <f t="shared" si="14"/>
        <v>0</v>
      </c>
      <c r="F135" s="21" t="str">
        <f t="shared" si="13"/>
        <v/>
      </c>
      <c r="G135" s="24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25"/>
      <c r="AO135" s="25"/>
    </row>
    <row r="136" spans="2:41" x14ac:dyDescent="0.2">
      <c r="B136" s="22" t="str">
        <f>'Wzorzec kategorii'!B98</f>
        <v>Buty</v>
      </c>
      <c r="C136" s="19">
        <v>0</v>
      </c>
      <c r="D136" s="20">
        <f>SUM(Tabela19212446276[#This Row])</f>
        <v>0</v>
      </c>
      <c r="E136" s="20">
        <f t="shared" si="14"/>
        <v>0</v>
      </c>
      <c r="F136" s="21" t="str">
        <f t="shared" si="13"/>
        <v/>
      </c>
      <c r="G136" s="24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25"/>
      <c r="AO136" s="25"/>
    </row>
    <row r="137" spans="2:41" x14ac:dyDescent="0.2">
      <c r="B137" s="22" t="str">
        <f>'Wzorzec kategorii'!B99</f>
        <v>Dodatki</v>
      </c>
      <c r="C137" s="19">
        <v>0</v>
      </c>
      <c r="D137" s="20">
        <f>SUM(Tabela19212446276[#This Row])</f>
        <v>0</v>
      </c>
      <c r="E137" s="20">
        <f t="shared" si="14"/>
        <v>0</v>
      </c>
      <c r="F137" s="21" t="str">
        <f t="shared" si="13"/>
        <v/>
      </c>
      <c r="G137" s="2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25"/>
      <c r="AO137" s="25"/>
    </row>
    <row r="138" spans="2:41" x14ac:dyDescent="0.2">
      <c r="B138" s="22" t="str">
        <f>'Wzorzec kategorii'!B100</f>
        <v>Inne</v>
      </c>
      <c r="C138" s="19">
        <v>0</v>
      </c>
      <c r="D138" s="20">
        <f>SUM(Tabela19212446276[#This Row])</f>
        <v>0</v>
      </c>
      <c r="E138" s="20">
        <f t="shared" si="14"/>
        <v>0</v>
      </c>
      <c r="F138" s="21" t="str">
        <f t="shared" si="13"/>
        <v/>
      </c>
      <c r="G138" s="2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25"/>
      <c r="AO138" s="25"/>
    </row>
    <row r="139" spans="2:41" x14ac:dyDescent="0.2">
      <c r="B139" s="50" t="str">
        <f>'Wzorzec kategorii'!B101</f>
        <v>.</v>
      </c>
      <c r="C139" s="19">
        <v>0</v>
      </c>
      <c r="D139" s="20">
        <f>SUM(Tabela19212446276[#This Row])</f>
        <v>0</v>
      </c>
      <c r="E139" s="20">
        <f t="shared" si="14"/>
        <v>0</v>
      </c>
      <c r="F139" s="53" t="str">
        <f t="shared" si="13"/>
        <v/>
      </c>
      <c r="G139" s="54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25"/>
      <c r="AO139" s="25"/>
    </row>
    <row r="140" spans="2:41" x14ac:dyDescent="0.2">
      <c r="B140" s="50" t="str">
        <f>'Wzorzec kategorii'!B102</f>
        <v>.</v>
      </c>
      <c r="C140" s="19">
        <v>0</v>
      </c>
      <c r="D140" s="20">
        <f>SUM(Tabela19212446276[#This Row])</f>
        <v>0</v>
      </c>
      <c r="E140" s="20">
        <f t="shared" si="14"/>
        <v>0</v>
      </c>
      <c r="F140" s="53" t="str">
        <f t="shared" si="13"/>
        <v/>
      </c>
      <c r="G140" s="54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25"/>
      <c r="AO140" s="25"/>
    </row>
    <row r="141" spans="2:41" x14ac:dyDescent="0.2">
      <c r="B141" s="50" t="str">
        <f>'Wzorzec kategorii'!B103</f>
        <v>.</v>
      </c>
      <c r="C141" s="19">
        <v>0</v>
      </c>
      <c r="D141" s="20">
        <f>SUM(Tabela19212446276[#This Row])</f>
        <v>0</v>
      </c>
      <c r="E141" s="20">
        <f t="shared" si="14"/>
        <v>0</v>
      </c>
      <c r="F141" s="53" t="str">
        <f t="shared" si="13"/>
        <v/>
      </c>
      <c r="G141" s="54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25"/>
      <c r="AO141" s="25"/>
    </row>
    <row r="142" spans="2:41" x14ac:dyDescent="0.2">
      <c r="B142" s="50" t="str">
        <f>'Wzorzec kategorii'!B104</f>
        <v>.</v>
      </c>
      <c r="C142" s="19">
        <v>0</v>
      </c>
      <c r="D142" s="20">
        <f>SUM(Tabela19212446276[#This Row])</f>
        <v>0</v>
      </c>
      <c r="E142" s="20">
        <f t="shared" si="14"/>
        <v>0</v>
      </c>
      <c r="F142" s="53" t="str">
        <f t="shared" si="13"/>
        <v/>
      </c>
      <c r="G142" s="54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25"/>
      <c r="AO142" s="25"/>
    </row>
    <row r="143" spans="2:41" x14ac:dyDescent="0.2">
      <c r="B143" s="50" t="str">
        <f>'Wzorzec kategorii'!B105</f>
        <v>.</v>
      </c>
      <c r="C143" s="19">
        <v>0</v>
      </c>
      <c r="D143" s="20">
        <f>SUM(Tabela19212446276[#This Row])</f>
        <v>0</v>
      </c>
      <c r="E143" s="20">
        <f t="shared" si="14"/>
        <v>0</v>
      </c>
      <c r="F143" s="53" t="str">
        <f t="shared" si="13"/>
        <v/>
      </c>
      <c r="G143" s="54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25"/>
      <c r="AO143" s="25"/>
    </row>
    <row r="144" spans="2:41" x14ac:dyDescent="0.2">
      <c r="B144" s="5" t="s">
        <v>30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</row>
    <row r="145" spans="2:41" x14ac:dyDescent="0.2">
      <c r="B145" s="2" t="str">
        <f>'Wzorzec kategorii'!B107</f>
        <v>Higiena</v>
      </c>
      <c r="C145" s="3">
        <f>SUM(Tabela1135265[[#All],[Kolumna2]])</f>
        <v>0</v>
      </c>
      <c r="D145" s="16">
        <f>SUM(Tabela1135265[[#All],[Kolumna3]])</f>
        <v>0</v>
      </c>
      <c r="E145" s="3">
        <f>C145-D145</f>
        <v>0</v>
      </c>
      <c r="F145" s="17" t="str">
        <f t="shared" ref="F145:F155" si="15">IFERROR(D145/C145,"")</f>
        <v/>
      </c>
      <c r="G145" s="3"/>
      <c r="I145" s="11" t="s">
        <v>44</v>
      </c>
      <c r="J145" s="11" t="s">
        <v>45</v>
      </c>
      <c r="K145" s="11" t="s">
        <v>46</v>
      </c>
      <c r="L145" s="11" t="s">
        <v>47</v>
      </c>
      <c r="M145" s="11" t="s">
        <v>48</v>
      </c>
      <c r="N145" s="11" t="s">
        <v>49</v>
      </c>
      <c r="O145" s="11" t="s">
        <v>50</v>
      </c>
      <c r="P145" s="11" t="s">
        <v>51</v>
      </c>
      <c r="Q145" s="11" t="s">
        <v>52</v>
      </c>
      <c r="R145" s="11" t="s">
        <v>53</v>
      </c>
      <c r="S145" s="11" t="s">
        <v>54</v>
      </c>
      <c r="T145" s="11" t="s">
        <v>55</v>
      </c>
      <c r="U145" s="11" t="s">
        <v>56</v>
      </c>
      <c r="V145" s="11" t="s">
        <v>57</v>
      </c>
      <c r="W145" s="11" t="s">
        <v>58</v>
      </c>
      <c r="X145" s="11" t="s">
        <v>59</v>
      </c>
      <c r="Y145" s="11" t="s">
        <v>60</v>
      </c>
      <c r="Z145" s="11" t="s">
        <v>61</v>
      </c>
      <c r="AA145" s="11" t="s">
        <v>62</v>
      </c>
      <c r="AB145" s="11" t="s">
        <v>63</v>
      </c>
      <c r="AC145" s="11" t="s">
        <v>64</v>
      </c>
      <c r="AD145" s="11" t="s">
        <v>65</v>
      </c>
      <c r="AE145" s="11" t="s">
        <v>66</v>
      </c>
      <c r="AF145" s="11" t="s">
        <v>67</v>
      </c>
      <c r="AG145" s="11" t="s">
        <v>68</v>
      </c>
      <c r="AH145" s="11" t="s">
        <v>69</v>
      </c>
      <c r="AI145" s="11" t="s">
        <v>70</v>
      </c>
      <c r="AJ145" s="11" t="s">
        <v>71</v>
      </c>
      <c r="AK145" s="11" t="s">
        <v>72</v>
      </c>
      <c r="AL145" s="11" t="s">
        <v>73</v>
      </c>
      <c r="AM145" s="11" t="s">
        <v>74</v>
      </c>
      <c r="AN145" s="25"/>
      <c r="AO145" s="25"/>
    </row>
    <row r="146" spans="2:41" x14ac:dyDescent="0.2">
      <c r="B146" s="22" t="str">
        <f>'Wzorzec kategorii'!B108</f>
        <v>Kosmetyki</v>
      </c>
      <c r="C146" s="19">
        <v>0</v>
      </c>
      <c r="D146" s="20">
        <f>SUM(Tabela192244274[#This Row])</f>
        <v>0</v>
      </c>
      <c r="E146" s="20">
        <f t="shared" ref="E146:E155" si="16">C146-D146</f>
        <v>0</v>
      </c>
      <c r="F146" s="21" t="str">
        <f t="shared" si="15"/>
        <v/>
      </c>
      <c r="G146" s="24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25"/>
      <c r="AO146" s="25"/>
    </row>
    <row r="147" spans="2:41" x14ac:dyDescent="0.2">
      <c r="B147" s="22" t="str">
        <f>'Wzorzec kategorii'!B109</f>
        <v>Środki czystości (chemia)</v>
      </c>
      <c r="C147" s="19">
        <v>0</v>
      </c>
      <c r="D147" s="20">
        <f>SUM(Tabela192244274[#This Row])</f>
        <v>0</v>
      </c>
      <c r="E147" s="20">
        <f t="shared" si="16"/>
        <v>0</v>
      </c>
      <c r="F147" s="21" t="str">
        <f t="shared" si="15"/>
        <v/>
      </c>
      <c r="G147" s="2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25"/>
      <c r="AO147" s="25"/>
    </row>
    <row r="148" spans="2:41" x14ac:dyDescent="0.2">
      <c r="B148" s="22" t="str">
        <f>'Wzorzec kategorii'!B110</f>
        <v>Fryzjer</v>
      </c>
      <c r="C148" s="19">
        <v>0</v>
      </c>
      <c r="D148" s="20">
        <f>SUM(Tabela192244274[#This Row])</f>
        <v>0</v>
      </c>
      <c r="E148" s="20">
        <f t="shared" si="16"/>
        <v>0</v>
      </c>
      <c r="F148" s="21" t="str">
        <f t="shared" si="15"/>
        <v/>
      </c>
      <c r="G148" s="2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25"/>
      <c r="AO148" s="25"/>
    </row>
    <row r="149" spans="2:41" x14ac:dyDescent="0.2">
      <c r="B149" s="22" t="str">
        <f>'Wzorzec kategorii'!B111</f>
        <v>Kosmetyczka</v>
      </c>
      <c r="C149" s="19">
        <v>0</v>
      </c>
      <c r="D149" s="20">
        <f>SUM(Tabela192244274[#This Row])</f>
        <v>0</v>
      </c>
      <c r="E149" s="20">
        <f t="shared" si="16"/>
        <v>0</v>
      </c>
      <c r="F149" s="21" t="str">
        <f t="shared" si="15"/>
        <v/>
      </c>
      <c r="G149" s="2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25"/>
      <c r="AO149" s="25"/>
    </row>
    <row r="150" spans="2:41" x14ac:dyDescent="0.2">
      <c r="B150" s="22" t="str">
        <f>'Wzorzec kategorii'!B112</f>
        <v>Inne</v>
      </c>
      <c r="C150" s="19">
        <v>0</v>
      </c>
      <c r="D150" s="20">
        <f>SUM(Tabela192244274[#This Row])</f>
        <v>0</v>
      </c>
      <c r="E150" s="20">
        <f t="shared" si="16"/>
        <v>0</v>
      </c>
      <c r="F150" s="21" t="str">
        <f t="shared" si="15"/>
        <v/>
      </c>
      <c r="G150" s="2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25"/>
      <c r="AO150" s="25"/>
    </row>
    <row r="151" spans="2:41" x14ac:dyDescent="0.2">
      <c r="B151" s="22" t="str">
        <f>'Wzorzec kategorii'!B113</f>
        <v>.</v>
      </c>
      <c r="C151" s="19">
        <v>0</v>
      </c>
      <c r="D151" s="20">
        <f>SUM(Tabela192244274[#This Row])</f>
        <v>0</v>
      </c>
      <c r="E151" s="20">
        <f t="shared" si="16"/>
        <v>0</v>
      </c>
      <c r="F151" s="53" t="str">
        <f t="shared" si="15"/>
        <v/>
      </c>
      <c r="G151" s="54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25"/>
      <c r="AO151" s="25"/>
    </row>
    <row r="152" spans="2:41" x14ac:dyDescent="0.2">
      <c r="B152" s="22" t="str">
        <f>'Wzorzec kategorii'!B114</f>
        <v>.</v>
      </c>
      <c r="C152" s="19">
        <v>0</v>
      </c>
      <c r="D152" s="20">
        <f>SUM(Tabela192244274[#This Row])</f>
        <v>0</v>
      </c>
      <c r="E152" s="20">
        <f t="shared" si="16"/>
        <v>0</v>
      </c>
      <c r="F152" s="53" t="str">
        <f t="shared" si="15"/>
        <v/>
      </c>
      <c r="G152" s="54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25"/>
      <c r="AO152" s="25"/>
    </row>
    <row r="153" spans="2:41" x14ac:dyDescent="0.2">
      <c r="B153" s="22" t="str">
        <f>'Wzorzec kategorii'!B115</f>
        <v>.</v>
      </c>
      <c r="C153" s="19">
        <v>0</v>
      </c>
      <c r="D153" s="20">
        <f>SUM(Tabela192244274[#This Row])</f>
        <v>0</v>
      </c>
      <c r="E153" s="20">
        <f t="shared" si="16"/>
        <v>0</v>
      </c>
      <c r="F153" s="53" t="str">
        <f t="shared" si="15"/>
        <v/>
      </c>
      <c r="G153" s="54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25"/>
      <c r="AO153" s="25"/>
    </row>
    <row r="154" spans="2:41" x14ac:dyDescent="0.2">
      <c r="B154" s="22" t="str">
        <f>'Wzorzec kategorii'!B116</f>
        <v>.</v>
      </c>
      <c r="C154" s="19">
        <v>0</v>
      </c>
      <c r="D154" s="20">
        <f>SUM(Tabela192244274[#This Row])</f>
        <v>0</v>
      </c>
      <c r="E154" s="20">
        <f t="shared" si="16"/>
        <v>0</v>
      </c>
      <c r="F154" s="53" t="str">
        <f t="shared" si="15"/>
        <v/>
      </c>
      <c r="G154" s="54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25"/>
      <c r="AO154" s="25"/>
    </row>
    <row r="155" spans="2:41" x14ac:dyDescent="0.2">
      <c r="B155" s="22" t="str">
        <f>'Wzorzec kategorii'!B117</f>
        <v>.</v>
      </c>
      <c r="C155" s="19">
        <v>0</v>
      </c>
      <c r="D155" s="20">
        <f>SUM(Tabela192244274[#This Row])</f>
        <v>0</v>
      </c>
      <c r="E155" s="20">
        <f t="shared" si="16"/>
        <v>0</v>
      </c>
      <c r="F155" s="53" t="str">
        <f t="shared" si="15"/>
        <v/>
      </c>
      <c r="G155" s="54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25"/>
      <c r="AO155" s="25"/>
    </row>
    <row r="156" spans="2:41" x14ac:dyDescent="0.2">
      <c r="B156" s="5" t="s">
        <v>30</v>
      </c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</row>
    <row r="157" spans="2:41" x14ac:dyDescent="0.2">
      <c r="B157" s="2" t="str">
        <f>'Wzorzec kategorii'!B119</f>
        <v>Dzieci</v>
      </c>
      <c r="C157" s="3">
        <f>SUM(Tabela1236266[[#All],[Kolumna2]])</f>
        <v>0</v>
      </c>
      <c r="D157" s="16">
        <f>SUM(Tabela1236266[[#All],[Kolumna3]])</f>
        <v>0</v>
      </c>
      <c r="E157" s="3">
        <f>C157-D157</f>
        <v>0</v>
      </c>
      <c r="F157" s="17" t="str">
        <f>IFERROR(D157/C157,"")</f>
        <v/>
      </c>
      <c r="G157" s="3"/>
      <c r="I157" s="11" t="s">
        <v>44</v>
      </c>
      <c r="J157" s="11" t="s">
        <v>45</v>
      </c>
      <c r="K157" s="11" t="s">
        <v>46</v>
      </c>
      <c r="L157" s="11" t="s">
        <v>47</v>
      </c>
      <c r="M157" s="11" t="s">
        <v>48</v>
      </c>
      <c r="N157" s="11" t="s">
        <v>49</v>
      </c>
      <c r="O157" s="11" t="s">
        <v>50</v>
      </c>
      <c r="P157" s="11" t="s">
        <v>51</v>
      </c>
      <c r="Q157" s="11" t="s">
        <v>52</v>
      </c>
      <c r="R157" s="11" t="s">
        <v>53</v>
      </c>
      <c r="S157" s="11" t="s">
        <v>54</v>
      </c>
      <c r="T157" s="11" t="s">
        <v>55</v>
      </c>
      <c r="U157" s="11" t="s">
        <v>56</v>
      </c>
      <c r="V157" s="11" t="s">
        <v>57</v>
      </c>
      <c r="W157" s="11" t="s">
        <v>58</v>
      </c>
      <c r="X157" s="11" t="s">
        <v>59</v>
      </c>
      <c r="Y157" s="11" t="s">
        <v>60</v>
      </c>
      <c r="Z157" s="11" t="s">
        <v>61</v>
      </c>
      <c r="AA157" s="11" t="s">
        <v>62</v>
      </c>
      <c r="AB157" s="11" t="s">
        <v>63</v>
      </c>
      <c r="AC157" s="11" t="s">
        <v>64</v>
      </c>
      <c r="AD157" s="11" t="s">
        <v>65</v>
      </c>
      <c r="AE157" s="11" t="s">
        <v>66</v>
      </c>
      <c r="AF157" s="11" t="s">
        <v>67</v>
      </c>
      <c r="AG157" s="11" t="s">
        <v>68</v>
      </c>
      <c r="AH157" s="11" t="s">
        <v>69</v>
      </c>
      <c r="AI157" s="11" t="s">
        <v>70</v>
      </c>
      <c r="AJ157" s="11" t="s">
        <v>71</v>
      </c>
      <c r="AK157" s="11" t="s">
        <v>72</v>
      </c>
      <c r="AL157" s="11" t="s">
        <v>73</v>
      </c>
      <c r="AM157" s="11" t="s">
        <v>74</v>
      </c>
      <c r="AN157" s="25"/>
      <c r="AO157" s="25"/>
    </row>
    <row r="158" spans="2:41" x14ac:dyDescent="0.2">
      <c r="B158" s="22" t="str">
        <f>'Wzorzec kategorii'!B120</f>
        <v>Artykuły szkolne</v>
      </c>
      <c r="C158" s="19">
        <v>0</v>
      </c>
      <c r="D158" s="20">
        <f>SUM(Tabela2548278[#This Row])</f>
        <v>0</v>
      </c>
      <c r="E158" s="20">
        <f t="shared" ref="E158:E167" si="17">C158-D158</f>
        <v>0</v>
      </c>
      <c r="F158" s="21" t="str">
        <f t="shared" ref="F158:F167" si="18">IFERROR(D158/C158,"")</f>
        <v/>
      </c>
      <c r="G158" s="2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25"/>
      <c r="AO158" s="25"/>
    </row>
    <row r="159" spans="2:41" x14ac:dyDescent="0.2">
      <c r="B159" s="22" t="str">
        <f>'Wzorzec kategorii'!B121</f>
        <v>Dodatkowe zajęcia</v>
      </c>
      <c r="C159" s="19">
        <v>0</v>
      </c>
      <c r="D159" s="20">
        <f>SUM(Tabela2548278[#This Row])</f>
        <v>0</v>
      </c>
      <c r="E159" s="20">
        <f t="shared" si="17"/>
        <v>0</v>
      </c>
      <c r="F159" s="21" t="str">
        <f t="shared" si="18"/>
        <v/>
      </c>
      <c r="G159" s="2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25"/>
      <c r="AO159" s="25"/>
    </row>
    <row r="160" spans="2:41" x14ac:dyDescent="0.2">
      <c r="B160" s="22" t="str">
        <f>'Wzorzec kategorii'!B122</f>
        <v>Wpłaty na szkołę itp.</v>
      </c>
      <c r="C160" s="19">
        <v>0</v>
      </c>
      <c r="D160" s="20">
        <f>SUM(Tabela2548278[#This Row])</f>
        <v>0</v>
      </c>
      <c r="E160" s="20">
        <f t="shared" si="17"/>
        <v>0</v>
      </c>
      <c r="F160" s="21" t="str">
        <f t="shared" si="18"/>
        <v/>
      </c>
      <c r="G160" s="2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25"/>
      <c r="AO160" s="25"/>
    </row>
    <row r="161" spans="2:41" x14ac:dyDescent="0.2">
      <c r="B161" s="22" t="str">
        <f>'Wzorzec kategorii'!B123</f>
        <v>Zabawki / gry</v>
      </c>
      <c r="C161" s="19">
        <v>0</v>
      </c>
      <c r="D161" s="20">
        <f>SUM(Tabela2548278[#This Row])</f>
        <v>0</v>
      </c>
      <c r="E161" s="20">
        <f t="shared" si="17"/>
        <v>0</v>
      </c>
      <c r="F161" s="21" t="str">
        <f t="shared" si="18"/>
        <v/>
      </c>
      <c r="G161" s="2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25"/>
      <c r="AO161" s="25"/>
    </row>
    <row r="162" spans="2:41" x14ac:dyDescent="0.2">
      <c r="B162" s="22" t="str">
        <f>'Wzorzec kategorii'!B124</f>
        <v>Opieka nad dziećmi</v>
      </c>
      <c r="C162" s="19">
        <v>0</v>
      </c>
      <c r="D162" s="20">
        <f>SUM(Tabela2548278[#This Row])</f>
        <v>0</v>
      </c>
      <c r="E162" s="20">
        <f t="shared" si="17"/>
        <v>0</v>
      </c>
      <c r="F162" s="21" t="str">
        <f t="shared" si="18"/>
        <v/>
      </c>
      <c r="G162" s="2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25"/>
      <c r="AO162" s="25"/>
    </row>
    <row r="163" spans="2:41" x14ac:dyDescent="0.2">
      <c r="B163" s="22" t="str">
        <f>'Wzorzec kategorii'!B125</f>
        <v>Inne</v>
      </c>
      <c r="C163" s="19">
        <v>0</v>
      </c>
      <c r="D163" s="20">
        <f>SUM(Tabela2548278[#This Row])</f>
        <v>0</v>
      </c>
      <c r="E163" s="20">
        <f t="shared" si="17"/>
        <v>0</v>
      </c>
      <c r="F163" s="21" t="str">
        <f t="shared" si="18"/>
        <v/>
      </c>
      <c r="G163" s="24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25"/>
      <c r="AO163" s="25"/>
    </row>
    <row r="164" spans="2:41" x14ac:dyDescent="0.2">
      <c r="B164" s="51" t="str">
        <f>'Wzorzec kategorii'!B126</f>
        <v>.</v>
      </c>
      <c r="C164" s="19">
        <v>0</v>
      </c>
      <c r="D164" s="20">
        <f>SUM(Tabela2548278[#This Row])</f>
        <v>0</v>
      </c>
      <c r="E164" s="20">
        <f t="shared" si="17"/>
        <v>0</v>
      </c>
      <c r="F164" s="53" t="str">
        <f t="shared" si="18"/>
        <v/>
      </c>
      <c r="G164" s="24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25"/>
      <c r="AO164" s="25"/>
    </row>
    <row r="165" spans="2:41" x14ac:dyDescent="0.2">
      <c r="B165" s="51" t="str">
        <f>'Wzorzec kategorii'!B127</f>
        <v>.</v>
      </c>
      <c r="C165" s="19">
        <v>0</v>
      </c>
      <c r="D165" s="20">
        <f>SUM(Tabela2548278[#This Row])</f>
        <v>0</v>
      </c>
      <c r="E165" s="20">
        <f t="shared" si="17"/>
        <v>0</v>
      </c>
      <c r="F165" s="53" t="str">
        <f t="shared" si="18"/>
        <v/>
      </c>
      <c r="G165" s="24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25"/>
      <c r="AO165" s="25"/>
    </row>
    <row r="166" spans="2:41" x14ac:dyDescent="0.2">
      <c r="B166" s="51" t="str">
        <f>'Wzorzec kategorii'!B128</f>
        <v>.</v>
      </c>
      <c r="C166" s="19">
        <v>0</v>
      </c>
      <c r="D166" s="20">
        <f>SUM(Tabela2548278[#This Row])</f>
        <v>0</v>
      </c>
      <c r="E166" s="20">
        <f t="shared" si="17"/>
        <v>0</v>
      </c>
      <c r="F166" s="53" t="str">
        <f t="shared" si="18"/>
        <v/>
      </c>
      <c r="G166" s="24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25"/>
      <c r="AO166" s="25"/>
    </row>
    <row r="167" spans="2:41" x14ac:dyDescent="0.2">
      <c r="B167" s="51" t="str">
        <f>'Wzorzec kategorii'!B129</f>
        <v>.</v>
      </c>
      <c r="C167" s="19">
        <v>0</v>
      </c>
      <c r="D167" s="20">
        <f>SUM(Tabela2548278[#This Row])</f>
        <v>0</v>
      </c>
      <c r="E167" s="20">
        <f t="shared" si="17"/>
        <v>0</v>
      </c>
      <c r="F167" s="53" t="str">
        <f t="shared" si="18"/>
        <v/>
      </c>
      <c r="G167" s="24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25"/>
      <c r="AO167" s="25"/>
    </row>
    <row r="168" spans="2:41" x14ac:dyDescent="0.2">
      <c r="B168" s="5" t="s">
        <v>30</v>
      </c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</row>
    <row r="169" spans="2:41" x14ac:dyDescent="0.2">
      <c r="B169" s="2" t="str">
        <f>'Wzorzec kategorii'!B131</f>
        <v>Rozrywka</v>
      </c>
      <c r="C169" s="3">
        <f>SUM(Tabela1337267[[#All],[Kolumna2]])</f>
        <v>0</v>
      </c>
      <c r="D169" s="16">
        <f>SUM(Tabela1337267[[#All],[Kolumna3]])</f>
        <v>0</v>
      </c>
      <c r="E169" s="3">
        <f>C169-D169</f>
        <v>0</v>
      </c>
      <c r="F169" s="17" t="str">
        <f>IFERROR(D169/C169,"")</f>
        <v/>
      </c>
      <c r="G169" s="3"/>
      <c r="I169" s="11" t="s">
        <v>44</v>
      </c>
      <c r="J169" s="11" t="s">
        <v>45</v>
      </c>
      <c r="K169" s="11" t="s">
        <v>46</v>
      </c>
      <c r="L169" s="11" t="s">
        <v>47</v>
      </c>
      <c r="M169" s="11" t="s">
        <v>48</v>
      </c>
      <c r="N169" s="11" t="s">
        <v>49</v>
      </c>
      <c r="O169" s="11" t="s">
        <v>50</v>
      </c>
      <c r="P169" s="11" t="s">
        <v>51</v>
      </c>
      <c r="Q169" s="11" t="s">
        <v>52</v>
      </c>
      <c r="R169" s="11" t="s">
        <v>53</v>
      </c>
      <c r="S169" s="11" t="s">
        <v>54</v>
      </c>
      <c r="T169" s="11" t="s">
        <v>55</v>
      </c>
      <c r="U169" s="11" t="s">
        <v>56</v>
      </c>
      <c r="V169" s="11" t="s">
        <v>57</v>
      </c>
      <c r="W169" s="11" t="s">
        <v>58</v>
      </c>
      <c r="X169" s="11" t="s">
        <v>59</v>
      </c>
      <c r="Y169" s="11" t="s">
        <v>60</v>
      </c>
      <c r="Z169" s="11" t="s">
        <v>61</v>
      </c>
      <c r="AA169" s="11" t="s">
        <v>62</v>
      </c>
      <c r="AB169" s="11" t="s">
        <v>63</v>
      </c>
      <c r="AC169" s="11" t="s">
        <v>64</v>
      </c>
      <c r="AD169" s="11" t="s">
        <v>65</v>
      </c>
      <c r="AE169" s="11" t="s">
        <v>66</v>
      </c>
      <c r="AF169" s="11" t="s">
        <v>67</v>
      </c>
      <c r="AG169" s="11" t="s">
        <v>68</v>
      </c>
      <c r="AH169" s="11" t="s">
        <v>69</v>
      </c>
      <c r="AI169" s="11" t="s">
        <v>70</v>
      </c>
      <c r="AJ169" s="11" t="s">
        <v>71</v>
      </c>
      <c r="AK169" s="11" t="s">
        <v>72</v>
      </c>
      <c r="AL169" s="11" t="s">
        <v>73</v>
      </c>
      <c r="AM169" s="11" t="s">
        <v>74</v>
      </c>
      <c r="AN169" s="25"/>
      <c r="AO169" s="25"/>
    </row>
    <row r="170" spans="2:41" x14ac:dyDescent="0.2">
      <c r="B170" s="22" t="str">
        <f>'Wzorzec kategorii'!B132</f>
        <v>Siłownia / Basen</v>
      </c>
      <c r="C170" s="19">
        <v>0</v>
      </c>
      <c r="D170" s="20">
        <f>SUM(Tabela2649279[#This Row])</f>
        <v>0</v>
      </c>
      <c r="E170" s="20">
        <f t="shared" ref="E170:E179" si="19">C170-D170</f>
        <v>0</v>
      </c>
      <c r="F170" s="21" t="str">
        <f t="shared" ref="F170:F179" si="20">IFERROR(D170/C170,"")</f>
        <v/>
      </c>
      <c r="G170" s="24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25"/>
      <c r="AO170" s="25"/>
    </row>
    <row r="171" spans="2:41" x14ac:dyDescent="0.2">
      <c r="B171" s="22" t="str">
        <f>'Wzorzec kategorii'!B133</f>
        <v>Kino / Teatr</v>
      </c>
      <c r="C171" s="19">
        <v>0</v>
      </c>
      <c r="D171" s="20">
        <f>SUM(Tabela2649279[#This Row])</f>
        <v>0</v>
      </c>
      <c r="E171" s="20">
        <f t="shared" si="19"/>
        <v>0</v>
      </c>
      <c r="F171" s="21" t="str">
        <f t="shared" si="20"/>
        <v/>
      </c>
      <c r="G171" s="24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25"/>
      <c r="AO171" s="25"/>
    </row>
    <row r="172" spans="2:41" x14ac:dyDescent="0.2">
      <c r="B172" s="22" t="str">
        <f>'Wzorzec kategorii'!B134</f>
        <v>Koncerty</v>
      </c>
      <c r="C172" s="19">
        <v>0</v>
      </c>
      <c r="D172" s="20">
        <f>SUM(Tabela2649279[#This Row])</f>
        <v>0</v>
      </c>
      <c r="E172" s="20">
        <f t="shared" si="19"/>
        <v>0</v>
      </c>
      <c r="F172" s="21" t="str">
        <f t="shared" si="20"/>
        <v/>
      </c>
      <c r="G172" s="24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25"/>
      <c r="AO172" s="25"/>
    </row>
    <row r="173" spans="2:41" x14ac:dyDescent="0.2">
      <c r="B173" s="22" t="str">
        <f>'Wzorzec kategorii'!B135</f>
        <v>Czasopisma</v>
      </c>
      <c r="C173" s="19">
        <v>0</v>
      </c>
      <c r="D173" s="20">
        <f>SUM(Tabela2649279[#This Row])</f>
        <v>0</v>
      </c>
      <c r="E173" s="20">
        <f t="shared" si="19"/>
        <v>0</v>
      </c>
      <c r="F173" s="21" t="str">
        <f t="shared" si="20"/>
        <v/>
      </c>
      <c r="G173" s="24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25"/>
      <c r="AO173" s="25"/>
    </row>
    <row r="174" spans="2:41" x14ac:dyDescent="0.2">
      <c r="B174" s="22" t="str">
        <f>'Wzorzec kategorii'!B136</f>
        <v>Książki</v>
      </c>
      <c r="C174" s="19">
        <v>0</v>
      </c>
      <c r="D174" s="20">
        <f>SUM(Tabela2649279[#This Row])</f>
        <v>0</v>
      </c>
      <c r="E174" s="20">
        <f t="shared" si="19"/>
        <v>0</v>
      </c>
      <c r="F174" s="21" t="str">
        <f t="shared" si="20"/>
        <v/>
      </c>
      <c r="G174" s="24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25"/>
      <c r="AO174" s="25"/>
    </row>
    <row r="175" spans="2:41" x14ac:dyDescent="0.2">
      <c r="B175" s="22" t="str">
        <f>'Wzorzec kategorii'!B137</f>
        <v>Hobby</v>
      </c>
      <c r="C175" s="19">
        <v>0</v>
      </c>
      <c r="D175" s="20">
        <f>SUM(Tabela2649279[#This Row])</f>
        <v>0</v>
      </c>
      <c r="E175" s="20">
        <f t="shared" si="19"/>
        <v>0</v>
      </c>
      <c r="F175" s="21" t="str">
        <f t="shared" si="20"/>
        <v/>
      </c>
      <c r="G175" s="24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25"/>
      <c r="AO175" s="25"/>
    </row>
    <row r="176" spans="2:41" x14ac:dyDescent="0.2">
      <c r="B176" s="22" t="str">
        <f>'Wzorzec kategorii'!B138</f>
        <v>Hotel / Turystyka</v>
      </c>
      <c r="C176" s="19">
        <v>0</v>
      </c>
      <c r="D176" s="20">
        <f>SUM(Tabela2649279[#This Row])</f>
        <v>0</v>
      </c>
      <c r="E176" s="20">
        <f t="shared" si="19"/>
        <v>0</v>
      </c>
      <c r="F176" s="21" t="str">
        <f t="shared" si="20"/>
        <v/>
      </c>
      <c r="G176" s="24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25"/>
      <c r="AO176" s="25"/>
    </row>
    <row r="177" spans="2:41" x14ac:dyDescent="0.2">
      <c r="B177" s="22" t="str">
        <f>'Wzorzec kategorii'!B139</f>
        <v>Inne</v>
      </c>
      <c r="C177" s="19">
        <v>0</v>
      </c>
      <c r="D177" s="20">
        <f>SUM(Tabela2649279[#This Row])</f>
        <v>0</v>
      </c>
      <c r="E177" s="20">
        <f t="shared" si="19"/>
        <v>0</v>
      </c>
      <c r="F177" s="21" t="str">
        <f t="shared" si="20"/>
        <v/>
      </c>
      <c r="G177" s="24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25"/>
      <c r="AO177" s="25"/>
    </row>
    <row r="178" spans="2:41" x14ac:dyDescent="0.2">
      <c r="B178" s="22" t="str">
        <f>'Wzorzec kategorii'!B140</f>
        <v>.</v>
      </c>
      <c r="C178" s="19">
        <v>0</v>
      </c>
      <c r="D178" s="20">
        <f>SUM(Tabela2649279[#This Row])</f>
        <v>0</v>
      </c>
      <c r="E178" s="20">
        <f t="shared" si="19"/>
        <v>0</v>
      </c>
      <c r="F178" s="53" t="str">
        <f t="shared" si="20"/>
        <v/>
      </c>
      <c r="G178" s="54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25"/>
      <c r="AO178" s="25"/>
    </row>
    <row r="179" spans="2:41" x14ac:dyDescent="0.2">
      <c r="B179" s="22" t="str">
        <f>'Wzorzec kategorii'!B141</f>
        <v>.</v>
      </c>
      <c r="C179" s="19">
        <v>0</v>
      </c>
      <c r="D179" s="20">
        <f>SUM(Tabela2649279[#This Row])</f>
        <v>0</v>
      </c>
      <c r="E179" s="20">
        <f t="shared" si="19"/>
        <v>0</v>
      </c>
      <c r="F179" s="53" t="str">
        <f t="shared" si="20"/>
        <v/>
      </c>
      <c r="G179" s="54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25"/>
      <c r="AO179" s="25"/>
    </row>
    <row r="180" spans="2:41" x14ac:dyDescent="0.2">
      <c r="B180" s="5" t="s">
        <v>30</v>
      </c>
      <c r="AN180" s="25"/>
      <c r="AO180" s="25"/>
    </row>
    <row r="181" spans="2:41" x14ac:dyDescent="0.2">
      <c r="B181" s="2" t="str">
        <f>'Wzorzec kategorii'!B143</f>
        <v>Inne wydatki</v>
      </c>
      <c r="C181" s="3">
        <f>SUM(Tabela1438268[[#All],[Kolumna2]])</f>
        <v>0</v>
      </c>
      <c r="D181" s="16">
        <f>SUM(Tabela1438268[[#All],[Kolumna3]])</f>
        <v>0</v>
      </c>
      <c r="E181" s="3">
        <f>C181-D181</f>
        <v>0</v>
      </c>
      <c r="F181" s="17" t="str">
        <f>IFERROR(D181/C181,"")</f>
        <v/>
      </c>
      <c r="G181" s="3"/>
      <c r="I181" s="11" t="s">
        <v>44</v>
      </c>
      <c r="J181" s="11" t="s">
        <v>45</v>
      </c>
      <c r="K181" s="11" t="s">
        <v>46</v>
      </c>
      <c r="L181" s="11" t="s">
        <v>47</v>
      </c>
      <c r="M181" s="11" t="s">
        <v>48</v>
      </c>
      <c r="N181" s="11" t="s">
        <v>49</v>
      </c>
      <c r="O181" s="11" t="s">
        <v>50</v>
      </c>
      <c r="P181" s="11" t="s">
        <v>51</v>
      </c>
      <c r="Q181" s="11" t="s">
        <v>52</v>
      </c>
      <c r="R181" s="11" t="s">
        <v>53</v>
      </c>
      <c r="S181" s="11" t="s">
        <v>54</v>
      </c>
      <c r="T181" s="11" t="s">
        <v>55</v>
      </c>
      <c r="U181" s="11" t="s">
        <v>56</v>
      </c>
      <c r="V181" s="11" t="s">
        <v>57</v>
      </c>
      <c r="W181" s="11" t="s">
        <v>58</v>
      </c>
      <c r="X181" s="11" t="s">
        <v>59</v>
      </c>
      <c r="Y181" s="11" t="s">
        <v>60</v>
      </c>
      <c r="Z181" s="11" t="s">
        <v>61</v>
      </c>
      <c r="AA181" s="11" t="s">
        <v>62</v>
      </c>
      <c r="AB181" s="11" t="s">
        <v>63</v>
      </c>
      <c r="AC181" s="11" t="s">
        <v>64</v>
      </c>
      <c r="AD181" s="11" t="s">
        <v>65</v>
      </c>
      <c r="AE181" s="11" t="s">
        <v>66</v>
      </c>
      <c r="AF181" s="11" t="s">
        <v>67</v>
      </c>
      <c r="AG181" s="11" t="s">
        <v>68</v>
      </c>
      <c r="AH181" s="11" t="s">
        <v>69</v>
      </c>
      <c r="AI181" s="11" t="s">
        <v>70</v>
      </c>
      <c r="AJ181" s="11" t="s">
        <v>71</v>
      </c>
      <c r="AK181" s="11" t="s">
        <v>72</v>
      </c>
      <c r="AL181" s="11" t="s">
        <v>73</v>
      </c>
      <c r="AM181" s="11" t="s">
        <v>74</v>
      </c>
      <c r="AN181" s="25"/>
      <c r="AO181" s="25"/>
    </row>
    <row r="182" spans="2:41" x14ac:dyDescent="0.2">
      <c r="B182" s="22" t="str">
        <f>'Wzorzec kategorii'!B144</f>
        <v>Dobroczynność</v>
      </c>
      <c r="C182" s="19">
        <v>0</v>
      </c>
      <c r="D182" s="20">
        <f>SUM(Tabela2750280[#This Row])</f>
        <v>0</v>
      </c>
      <c r="E182" s="20">
        <f t="shared" ref="E182:E191" si="21">C182-D182</f>
        <v>0</v>
      </c>
      <c r="F182" s="21" t="str">
        <f t="shared" ref="F182:F191" si="22">IFERROR(D182/C182,"")</f>
        <v/>
      </c>
      <c r="G182" s="24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25"/>
      <c r="AO182" s="25"/>
    </row>
    <row r="183" spans="2:41" x14ac:dyDescent="0.2">
      <c r="B183" s="22" t="str">
        <f>'Wzorzec kategorii'!B145</f>
        <v>Prezenty</v>
      </c>
      <c r="C183" s="19">
        <v>0</v>
      </c>
      <c r="D183" s="20">
        <f>SUM(Tabela2750280[#This Row])</f>
        <v>0</v>
      </c>
      <c r="E183" s="20">
        <f t="shared" si="21"/>
        <v>0</v>
      </c>
      <c r="F183" s="21" t="str">
        <f t="shared" si="22"/>
        <v/>
      </c>
      <c r="G183" s="24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25"/>
      <c r="AO183" s="25"/>
    </row>
    <row r="184" spans="2:41" x14ac:dyDescent="0.2">
      <c r="B184" s="22" t="str">
        <f>'Wzorzec kategorii'!B146</f>
        <v>Sprzęt RTV</v>
      </c>
      <c r="C184" s="19">
        <v>0</v>
      </c>
      <c r="D184" s="20">
        <f>SUM(Tabela2750280[#This Row])</f>
        <v>0</v>
      </c>
      <c r="E184" s="20">
        <f t="shared" si="21"/>
        <v>0</v>
      </c>
      <c r="F184" s="21" t="str">
        <f t="shared" si="22"/>
        <v/>
      </c>
      <c r="G184" s="24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25"/>
      <c r="AO184" s="25"/>
    </row>
    <row r="185" spans="2:41" x14ac:dyDescent="0.2">
      <c r="B185" s="22" t="str">
        <f>'Wzorzec kategorii'!B147</f>
        <v>Oprogramowanie</v>
      </c>
      <c r="C185" s="19">
        <v>0</v>
      </c>
      <c r="D185" s="20">
        <f>SUM(Tabela2750280[#This Row])</f>
        <v>0</v>
      </c>
      <c r="E185" s="20">
        <f t="shared" si="21"/>
        <v>0</v>
      </c>
      <c r="F185" s="21" t="str">
        <f t="shared" si="22"/>
        <v/>
      </c>
      <c r="G185" s="24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25"/>
      <c r="AO185" s="25"/>
    </row>
    <row r="186" spans="2:41" x14ac:dyDescent="0.2">
      <c r="B186" s="22" t="str">
        <f>'Wzorzec kategorii'!B148</f>
        <v>Edukacja / Szkolenia</v>
      </c>
      <c r="C186" s="19">
        <v>0</v>
      </c>
      <c r="D186" s="20">
        <f>SUM(Tabela2750280[#This Row])</f>
        <v>0</v>
      </c>
      <c r="E186" s="20">
        <f t="shared" si="21"/>
        <v>0</v>
      </c>
      <c r="F186" s="21" t="str">
        <f t="shared" si="22"/>
        <v/>
      </c>
      <c r="G186" s="24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25"/>
      <c r="AO186" s="25"/>
    </row>
    <row r="187" spans="2:41" x14ac:dyDescent="0.2">
      <c r="B187" s="22" t="str">
        <f>'Wzorzec kategorii'!B149</f>
        <v>Usługi inne</v>
      </c>
      <c r="C187" s="19">
        <v>0</v>
      </c>
      <c r="D187" s="20">
        <f>SUM(Tabela2750280[#This Row])</f>
        <v>0</v>
      </c>
      <c r="E187" s="20">
        <f t="shared" si="21"/>
        <v>0</v>
      </c>
      <c r="F187" s="21" t="str">
        <f t="shared" si="22"/>
        <v/>
      </c>
      <c r="G187" s="24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25"/>
      <c r="AO187" s="25"/>
    </row>
    <row r="188" spans="2:41" x14ac:dyDescent="0.2">
      <c r="B188" s="22" t="str">
        <f>'Wzorzec kategorii'!B150</f>
        <v>Podatki</v>
      </c>
      <c r="C188" s="19">
        <v>0</v>
      </c>
      <c r="D188" s="20">
        <f>SUM(Tabela2750280[#This Row])</f>
        <v>0</v>
      </c>
      <c r="E188" s="20">
        <f t="shared" si="21"/>
        <v>0</v>
      </c>
      <c r="F188" s="21" t="str">
        <f t="shared" si="22"/>
        <v/>
      </c>
      <c r="G188" s="24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25"/>
      <c r="AO188" s="25"/>
    </row>
    <row r="189" spans="2:41" x14ac:dyDescent="0.2">
      <c r="B189" s="22" t="str">
        <f>'Wzorzec kategorii'!B151</f>
        <v>Inne</v>
      </c>
      <c r="C189" s="19">
        <v>0</v>
      </c>
      <c r="D189" s="20">
        <f>SUM(Tabela2750280[#This Row])</f>
        <v>0</v>
      </c>
      <c r="E189" s="20">
        <f t="shared" si="21"/>
        <v>0</v>
      </c>
      <c r="F189" s="21" t="str">
        <f t="shared" si="22"/>
        <v/>
      </c>
      <c r="G189" s="24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25"/>
      <c r="AO189" s="25"/>
    </row>
    <row r="190" spans="2:41" x14ac:dyDescent="0.2">
      <c r="B190" s="22" t="str">
        <f>'Wzorzec kategorii'!B152</f>
        <v>.</v>
      </c>
      <c r="C190" s="19">
        <v>0</v>
      </c>
      <c r="D190" s="20">
        <f>SUM(Tabela2750280[#This Row])</f>
        <v>0</v>
      </c>
      <c r="E190" s="20">
        <f t="shared" si="21"/>
        <v>0</v>
      </c>
      <c r="F190" s="53" t="str">
        <f t="shared" si="22"/>
        <v/>
      </c>
      <c r="G190" s="54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25"/>
      <c r="AO190" s="25"/>
    </row>
    <row r="191" spans="2:41" x14ac:dyDescent="0.2">
      <c r="B191" s="22" t="str">
        <f>'Wzorzec kategorii'!B153</f>
        <v>.</v>
      </c>
      <c r="C191" s="19">
        <v>0</v>
      </c>
      <c r="D191" s="20">
        <f>SUM(Tabela2750280[#This Row])</f>
        <v>0</v>
      </c>
      <c r="E191" s="20">
        <f t="shared" si="21"/>
        <v>0</v>
      </c>
      <c r="F191" s="53" t="str">
        <f t="shared" si="22"/>
        <v/>
      </c>
      <c r="G191" s="54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25"/>
      <c r="AO191" s="25"/>
    </row>
    <row r="192" spans="2:41" x14ac:dyDescent="0.2">
      <c r="B192" s="5" t="s">
        <v>30</v>
      </c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</row>
    <row r="193" spans="2:41" x14ac:dyDescent="0.2">
      <c r="B193" s="2" t="str">
        <f>'Wzorzec kategorii'!B155</f>
        <v>Spłata długów</v>
      </c>
      <c r="C193" s="3">
        <f>SUM(Tabela1539269[[#All],[Kolumna2]])</f>
        <v>0</v>
      </c>
      <c r="D193" s="16">
        <f>SUM(Tabela1539269[[#All],[Kolumna3]])</f>
        <v>0</v>
      </c>
      <c r="E193" s="3">
        <f>C193-D193</f>
        <v>0</v>
      </c>
      <c r="F193" s="17" t="str">
        <f>IFERROR(D193/C193,"")</f>
        <v/>
      </c>
      <c r="G193" s="3"/>
      <c r="I193" s="11" t="s">
        <v>44</v>
      </c>
      <c r="J193" s="11" t="s">
        <v>45</v>
      </c>
      <c r="K193" s="11" t="s">
        <v>46</v>
      </c>
      <c r="L193" s="11" t="s">
        <v>47</v>
      </c>
      <c r="M193" s="11" t="s">
        <v>48</v>
      </c>
      <c r="N193" s="11" t="s">
        <v>49</v>
      </c>
      <c r="O193" s="11" t="s">
        <v>50</v>
      </c>
      <c r="P193" s="11" t="s">
        <v>51</v>
      </c>
      <c r="Q193" s="11" t="s">
        <v>52</v>
      </c>
      <c r="R193" s="11" t="s">
        <v>53</v>
      </c>
      <c r="S193" s="11" t="s">
        <v>54</v>
      </c>
      <c r="T193" s="11" t="s">
        <v>55</v>
      </c>
      <c r="U193" s="11" t="s">
        <v>56</v>
      </c>
      <c r="V193" s="11" t="s">
        <v>57</v>
      </c>
      <c r="W193" s="11" t="s">
        <v>58</v>
      </c>
      <c r="X193" s="11" t="s">
        <v>59</v>
      </c>
      <c r="Y193" s="11" t="s">
        <v>60</v>
      </c>
      <c r="Z193" s="11" t="s">
        <v>61</v>
      </c>
      <c r="AA193" s="11" t="s">
        <v>62</v>
      </c>
      <c r="AB193" s="11" t="s">
        <v>63</v>
      </c>
      <c r="AC193" s="11" t="s">
        <v>64</v>
      </c>
      <c r="AD193" s="11" t="s">
        <v>65</v>
      </c>
      <c r="AE193" s="11" t="s">
        <v>66</v>
      </c>
      <c r="AF193" s="11" t="s">
        <v>67</v>
      </c>
      <c r="AG193" s="11" t="s">
        <v>68</v>
      </c>
      <c r="AH193" s="11" t="s">
        <v>69</v>
      </c>
      <c r="AI193" s="11" t="s">
        <v>70</v>
      </c>
      <c r="AJ193" s="11" t="s">
        <v>71</v>
      </c>
      <c r="AK193" s="11" t="s">
        <v>72</v>
      </c>
      <c r="AL193" s="11" t="s">
        <v>73</v>
      </c>
      <c r="AM193" s="11" t="s">
        <v>74</v>
      </c>
      <c r="AN193" s="25"/>
      <c r="AO193" s="25"/>
    </row>
    <row r="194" spans="2:41" x14ac:dyDescent="0.2">
      <c r="B194" s="22" t="str">
        <f>'Wzorzec kategorii'!B156</f>
        <v>Kredyt hipoteczny</v>
      </c>
      <c r="C194" s="19">
        <v>0</v>
      </c>
      <c r="D194" s="20">
        <f>SUM(Tabela2851281[#This Row])</f>
        <v>0</v>
      </c>
      <c r="E194" s="20">
        <f t="shared" ref="E194:E203" si="23">C194-D194</f>
        <v>0</v>
      </c>
      <c r="F194" s="21" t="str">
        <f t="shared" ref="F194:F203" si="24">IFERROR(D194/C194,"")</f>
        <v/>
      </c>
      <c r="G194" s="24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25"/>
      <c r="AO194" s="25"/>
    </row>
    <row r="195" spans="2:41" x14ac:dyDescent="0.2">
      <c r="B195" s="22" t="str">
        <f>'Wzorzec kategorii'!B157</f>
        <v>Kredyt konsumpcyjny</v>
      </c>
      <c r="C195" s="19">
        <v>0</v>
      </c>
      <c r="D195" s="20">
        <f>SUM(Tabela2851281[#This Row])</f>
        <v>0</v>
      </c>
      <c r="E195" s="20">
        <f t="shared" si="23"/>
        <v>0</v>
      </c>
      <c r="F195" s="21" t="str">
        <f t="shared" si="24"/>
        <v/>
      </c>
      <c r="G195" s="24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25"/>
      <c r="AO195" s="25"/>
    </row>
    <row r="196" spans="2:41" x14ac:dyDescent="0.2">
      <c r="B196" s="22" t="str">
        <f>'Wzorzec kategorii'!B158</f>
        <v>Pożyczka osobista</v>
      </c>
      <c r="C196" s="19">
        <v>0</v>
      </c>
      <c r="D196" s="20">
        <f>SUM(Tabela2851281[#This Row])</f>
        <v>0</v>
      </c>
      <c r="E196" s="20">
        <f t="shared" si="23"/>
        <v>0</v>
      </c>
      <c r="F196" s="21" t="str">
        <f t="shared" si="24"/>
        <v/>
      </c>
      <c r="G196" s="24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25"/>
      <c r="AO196" s="25"/>
    </row>
    <row r="197" spans="2:41" x14ac:dyDescent="0.2">
      <c r="B197" s="22" t="str">
        <f>'Wzorzec kategorii'!B159</f>
        <v>Inne</v>
      </c>
      <c r="C197" s="19">
        <v>0</v>
      </c>
      <c r="D197" s="20">
        <f>SUM(Tabela2851281[#This Row])</f>
        <v>0</v>
      </c>
      <c r="E197" s="20">
        <f t="shared" si="23"/>
        <v>0</v>
      </c>
      <c r="F197" s="21" t="str">
        <f t="shared" si="24"/>
        <v/>
      </c>
      <c r="G197" s="24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25"/>
      <c r="AO197" s="25"/>
    </row>
    <row r="198" spans="2:41" x14ac:dyDescent="0.2">
      <c r="B198" s="22" t="str">
        <f>'Wzorzec kategorii'!B160</f>
        <v>.</v>
      </c>
      <c r="C198" s="19">
        <v>0</v>
      </c>
      <c r="D198" s="20">
        <f>SUM(Tabela2851281[#This Row])</f>
        <v>0</v>
      </c>
      <c r="E198" s="20">
        <f t="shared" si="23"/>
        <v>0</v>
      </c>
      <c r="F198" s="21" t="str">
        <f t="shared" si="24"/>
        <v/>
      </c>
      <c r="G198" s="24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25"/>
      <c r="AO198" s="25"/>
    </row>
    <row r="199" spans="2:41" x14ac:dyDescent="0.2">
      <c r="B199" s="22" t="str">
        <f>'Wzorzec kategorii'!B161</f>
        <v>.</v>
      </c>
      <c r="C199" s="19">
        <v>0</v>
      </c>
      <c r="D199" s="20">
        <f>SUM(Tabela2851281[#This Row])</f>
        <v>0</v>
      </c>
      <c r="E199" s="20">
        <f t="shared" si="23"/>
        <v>0</v>
      </c>
      <c r="F199" s="21" t="str">
        <f t="shared" si="24"/>
        <v/>
      </c>
      <c r="G199" s="24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25"/>
      <c r="AO199" s="25"/>
    </row>
    <row r="200" spans="2:41" x14ac:dyDescent="0.2">
      <c r="B200" s="22" t="str">
        <f>'Wzorzec kategorii'!B162</f>
        <v>.</v>
      </c>
      <c r="C200" s="19">
        <v>0</v>
      </c>
      <c r="D200" s="20">
        <f>SUM(Tabela2851281[#This Row])</f>
        <v>0</v>
      </c>
      <c r="E200" s="20">
        <f t="shared" si="23"/>
        <v>0</v>
      </c>
      <c r="F200" s="53" t="str">
        <f t="shared" si="24"/>
        <v/>
      </c>
      <c r="G200" s="54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25"/>
      <c r="AO200" s="25"/>
    </row>
    <row r="201" spans="2:41" x14ac:dyDescent="0.2">
      <c r="B201" s="22" t="str">
        <f>'Wzorzec kategorii'!B163</f>
        <v>.</v>
      </c>
      <c r="C201" s="19">
        <v>0</v>
      </c>
      <c r="D201" s="20">
        <f>SUM(Tabela2851281[#This Row])</f>
        <v>0</v>
      </c>
      <c r="E201" s="20">
        <f t="shared" si="23"/>
        <v>0</v>
      </c>
      <c r="F201" s="53" t="str">
        <f t="shared" si="24"/>
        <v/>
      </c>
      <c r="G201" s="54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25"/>
      <c r="AO201" s="25"/>
    </row>
    <row r="202" spans="2:41" x14ac:dyDescent="0.2">
      <c r="B202" s="22" t="str">
        <f>'Wzorzec kategorii'!B164</f>
        <v>.</v>
      </c>
      <c r="C202" s="19">
        <v>0</v>
      </c>
      <c r="D202" s="20">
        <f>SUM(Tabela2851281[#This Row])</f>
        <v>0</v>
      </c>
      <c r="E202" s="20">
        <f t="shared" si="23"/>
        <v>0</v>
      </c>
      <c r="F202" s="53" t="str">
        <f t="shared" si="24"/>
        <v/>
      </c>
      <c r="G202" s="54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25"/>
      <c r="AO202" s="25"/>
    </row>
    <row r="203" spans="2:41" x14ac:dyDescent="0.2">
      <c r="B203" s="22" t="str">
        <f>'Wzorzec kategorii'!B165</f>
        <v>.</v>
      </c>
      <c r="C203" s="19">
        <v>0</v>
      </c>
      <c r="D203" s="20">
        <f>SUM(Tabela2851281[#This Row])</f>
        <v>0</v>
      </c>
      <c r="E203" s="20">
        <f t="shared" si="23"/>
        <v>0</v>
      </c>
      <c r="F203" s="53" t="str">
        <f t="shared" si="24"/>
        <v/>
      </c>
      <c r="G203" s="54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25"/>
      <c r="AO203" s="25"/>
    </row>
    <row r="204" spans="2:41" x14ac:dyDescent="0.2">
      <c r="B204" s="5" t="s">
        <v>30</v>
      </c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</row>
    <row r="205" spans="2:41" x14ac:dyDescent="0.2">
      <c r="B205" s="2" t="str">
        <f>'Wzorzec kategorii'!B167</f>
        <v>Budowanie oszczędności</v>
      </c>
      <c r="C205" s="3">
        <f>SUM(Tabela1640270[[#All],[Kolumna2]])</f>
        <v>0</v>
      </c>
      <c r="D205" s="16">
        <f>SUM(Tabela1640270[[#All],[Kolumna3]])</f>
        <v>0</v>
      </c>
      <c r="E205" s="3">
        <f>C205-D205</f>
        <v>0</v>
      </c>
      <c r="F205" s="17" t="str">
        <f>IFERROR(D205/C205,"")</f>
        <v/>
      </c>
      <c r="G205" s="3"/>
      <c r="I205" s="11" t="s">
        <v>44</v>
      </c>
      <c r="J205" s="11" t="s">
        <v>45</v>
      </c>
      <c r="K205" s="11" t="s">
        <v>46</v>
      </c>
      <c r="L205" s="11" t="s">
        <v>47</v>
      </c>
      <c r="M205" s="11" t="s">
        <v>48</v>
      </c>
      <c r="N205" s="11" t="s">
        <v>49</v>
      </c>
      <c r="O205" s="11" t="s">
        <v>50</v>
      </c>
      <c r="P205" s="11" t="s">
        <v>51</v>
      </c>
      <c r="Q205" s="11" t="s">
        <v>52</v>
      </c>
      <c r="R205" s="11" t="s">
        <v>53</v>
      </c>
      <c r="S205" s="11" t="s">
        <v>54</v>
      </c>
      <c r="T205" s="11" t="s">
        <v>55</v>
      </c>
      <c r="U205" s="11" t="s">
        <v>56</v>
      </c>
      <c r="V205" s="11" t="s">
        <v>57</v>
      </c>
      <c r="W205" s="11" t="s">
        <v>58</v>
      </c>
      <c r="X205" s="11" t="s">
        <v>59</v>
      </c>
      <c r="Y205" s="11" t="s">
        <v>60</v>
      </c>
      <c r="Z205" s="11" t="s">
        <v>61</v>
      </c>
      <c r="AA205" s="11" t="s">
        <v>62</v>
      </c>
      <c r="AB205" s="11" t="s">
        <v>63</v>
      </c>
      <c r="AC205" s="11" t="s">
        <v>64</v>
      </c>
      <c r="AD205" s="11" t="s">
        <v>65</v>
      </c>
      <c r="AE205" s="11" t="s">
        <v>66</v>
      </c>
      <c r="AF205" s="11" t="s">
        <v>67</v>
      </c>
      <c r="AG205" s="11" t="s">
        <v>68</v>
      </c>
      <c r="AH205" s="11" t="s">
        <v>69</v>
      </c>
      <c r="AI205" s="11" t="s">
        <v>70</v>
      </c>
      <c r="AJ205" s="11" t="s">
        <v>71</v>
      </c>
      <c r="AK205" s="11" t="s">
        <v>72</v>
      </c>
      <c r="AL205" s="11" t="s">
        <v>73</v>
      </c>
      <c r="AM205" s="11" t="s">
        <v>74</v>
      </c>
      <c r="AN205" s="25"/>
      <c r="AO205" s="25"/>
    </row>
    <row r="206" spans="2:41" x14ac:dyDescent="0.2">
      <c r="B206" s="22" t="str">
        <f>'Wzorzec kategorii'!B168</f>
        <v>Fundusz awaryjny</v>
      </c>
      <c r="C206" s="19">
        <v>0</v>
      </c>
      <c r="D206" s="20">
        <f>SUM(Tabela192345275[#This Row])</f>
        <v>0</v>
      </c>
      <c r="E206" s="20">
        <f t="shared" ref="E206:E215" si="25">C206-D206</f>
        <v>0</v>
      </c>
      <c r="F206" s="21" t="str">
        <f t="shared" ref="F206:F215" si="26">IFERROR(D206/C206,"")</f>
        <v/>
      </c>
      <c r="G206" s="24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25"/>
      <c r="AO206" s="25"/>
    </row>
    <row r="207" spans="2:41" ht="30" x14ac:dyDescent="0.2">
      <c r="B207" s="22" t="str">
        <f>'Wzorzec kategorii'!B169</f>
        <v>Fundusz wydatków nieregularnych</v>
      </c>
      <c r="C207" s="19">
        <v>0</v>
      </c>
      <c r="D207" s="20">
        <f>SUM(Tabela192345275[#This Row])</f>
        <v>0</v>
      </c>
      <c r="E207" s="20">
        <f t="shared" si="25"/>
        <v>0</v>
      </c>
      <c r="F207" s="21" t="str">
        <f t="shared" si="26"/>
        <v/>
      </c>
      <c r="G207" s="24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25"/>
      <c r="AO207" s="25"/>
    </row>
    <row r="208" spans="2:41" x14ac:dyDescent="0.2">
      <c r="B208" s="22" t="str">
        <f>'Wzorzec kategorii'!B170</f>
        <v>Poduszka finansowa</v>
      </c>
      <c r="C208" s="19">
        <v>0</v>
      </c>
      <c r="D208" s="20">
        <f>SUM(Tabela192345275[#This Row])</f>
        <v>0</v>
      </c>
      <c r="E208" s="20">
        <f t="shared" si="25"/>
        <v>0</v>
      </c>
      <c r="F208" s="21" t="str">
        <f t="shared" si="26"/>
        <v/>
      </c>
      <c r="G208" s="24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25"/>
      <c r="AO208" s="25"/>
    </row>
    <row r="209" spans="2:41" x14ac:dyDescent="0.2">
      <c r="B209" s="22" t="str">
        <f>'Wzorzec kategorii'!B171</f>
        <v>Konto emerytalne IKE/IKZE</v>
      </c>
      <c r="C209" s="19">
        <v>0</v>
      </c>
      <c r="D209" s="20">
        <f>SUM(Tabela192345275[#This Row])</f>
        <v>0</v>
      </c>
      <c r="E209" s="20">
        <f t="shared" si="25"/>
        <v>0</v>
      </c>
      <c r="F209" s="21" t="str">
        <f t="shared" si="26"/>
        <v/>
      </c>
      <c r="G209" s="24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25"/>
      <c r="AO209" s="25"/>
    </row>
    <row r="210" spans="2:41" x14ac:dyDescent="0.2">
      <c r="B210" s="22" t="str">
        <f>'Wzorzec kategorii'!B172</f>
        <v>Nadpłata długów</v>
      </c>
      <c r="C210" s="19">
        <v>0</v>
      </c>
      <c r="D210" s="20">
        <f>SUM(Tabela192345275[#This Row])</f>
        <v>0</v>
      </c>
      <c r="E210" s="20">
        <f t="shared" si="25"/>
        <v>0</v>
      </c>
      <c r="F210" s="21" t="str">
        <f t="shared" si="26"/>
        <v/>
      </c>
      <c r="G210" s="24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25"/>
      <c r="AO210" s="25"/>
    </row>
    <row r="211" spans="2:41" x14ac:dyDescent="0.2">
      <c r="B211" s="22" t="str">
        <f>'Wzorzec kategorii'!B173</f>
        <v>Fundusz: wakacje</v>
      </c>
      <c r="C211" s="19">
        <v>0</v>
      </c>
      <c r="D211" s="20">
        <f>SUM(Tabela192345275[#This Row])</f>
        <v>0</v>
      </c>
      <c r="E211" s="20">
        <f t="shared" si="25"/>
        <v>0</v>
      </c>
      <c r="F211" s="21" t="str">
        <f t="shared" si="26"/>
        <v/>
      </c>
      <c r="G211" s="24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25"/>
      <c r="AO211" s="25"/>
    </row>
    <row r="212" spans="2:41" x14ac:dyDescent="0.2">
      <c r="B212" s="22" t="str">
        <f>'Wzorzec kategorii'!B174</f>
        <v>Fundusz: prezenty świąteczne</v>
      </c>
      <c r="C212" s="19">
        <v>0</v>
      </c>
      <c r="D212" s="20">
        <f>SUM(Tabela192345275[#This Row])</f>
        <v>0</v>
      </c>
      <c r="E212" s="20">
        <f t="shared" si="25"/>
        <v>0</v>
      </c>
      <c r="F212" s="21" t="str">
        <f t="shared" si="26"/>
        <v/>
      </c>
      <c r="G212" s="24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25"/>
      <c r="AO212" s="25"/>
    </row>
    <row r="213" spans="2:41" x14ac:dyDescent="0.2">
      <c r="B213" s="22" t="str">
        <f>'Wzorzec kategorii'!B175</f>
        <v>Inne</v>
      </c>
      <c r="C213" s="19">
        <v>0</v>
      </c>
      <c r="D213" s="20">
        <f>SUM(Tabela192345275[#This Row])</f>
        <v>0</v>
      </c>
      <c r="E213" s="20">
        <f t="shared" si="25"/>
        <v>0</v>
      </c>
      <c r="F213" s="21" t="str">
        <f t="shared" si="26"/>
        <v/>
      </c>
      <c r="G213" s="24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25"/>
      <c r="AO213" s="25"/>
    </row>
    <row r="214" spans="2:41" x14ac:dyDescent="0.2">
      <c r="B214" s="22" t="str">
        <f>'Wzorzec kategorii'!B176</f>
        <v>.</v>
      </c>
      <c r="C214" s="19">
        <v>0</v>
      </c>
      <c r="D214" s="20">
        <f>SUM(Tabela192345275[#This Row])</f>
        <v>0</v>
      </c>
      <c r="E214" s="20">
        <f t="shared" si="25"/>
        <v>0</v>
      </c>
      <c r="F214" s="53" t="str">
        <f t="shared" si="26"/>
        <v/>
      </c>
      <c r="G214" s="54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25"/>
      <c r="AO214" s="25"/>
    </row>
    <row r="215" spans="2:41" x14ac:dyDescent="0.2">
      <c r="B215" s="22" t="str">
        <f>'Wzorzec kategorii'!B177</f>
        <v>.</v>
      </c>
      <c r="C215" s="19">
        <v>0</v>
      </c>
      <c r="D215" s="20">
        <f>SUM(Tabela192345275[#This Row])</f>
        <v>0</v>
      </c>
      <c r="E215" s="20">
        <f t="shared" si="25"/>
        <v>0</v>
      </c>
      <c r="F215" s="53" t="str">
        <f t="shared" si="26"/>
        <v/>
      </c>
      <c r="G215" s="54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25"/>
      <c r="AO215" s="25"/>
    </row>
    <row r="216" spans="2:41" x14ac:dyDescent="0.2"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</row>
    <row r="217" spans="2:41" x14ac:dyDescent="0.2">
      <c r="B217" s="2" t="str">
        <f>'Wzorzec kategorii'!B179</f>
        <v>INNE 1</v>
      </c>
      <c r="C217" s="3">
        <f>SUM(Tabela164058282[[#All],[Kolumna2]])</f>
        <v>0</v>
      </c>
      <c r="D217" s="16">
        <f>SUM(Tabela164058282[[#All],[Kolumna3]])</f>
        <v>0</v>
      </c>
      <c r="E217" s="3">
        <f>C217-D217</f>
        <v>0</v>
      </c>
      <c r="F217" s="17" t="str">
        <f>IFERROR(D217/C217,"")</f>
        <v/>
      </c>
      <c r="G217" s="3"/>
      <c r="I217" s="11" t="s">
        <v>44</v>
      </c>
      <c r="J217" s="11" t="s">
        <v>45</v>
      </c>
      <c r="K217" s="11" t="s">
        <v>46</v>
      </c>
      <c r="L217" s="11" t="s">
        <v>47</v>
      </c>
      <c r="M217" s="11" t="s">
        <v>48</v>
      </c>
      <c r="N217" s="11" t="s">
        <v>49</v>
      </c>
      <c r="O217" s="11" t="s">
        <v>50</v>
      </c>
      <c r="P217" s="11" t="s">
        <v>51</v>
      </c>
      <c r="Q217" s="11" t="s">
        <v>52</v>
      </c>
      <c r="R217" s="11" t="s">
        <v>53</v>
      </c>
      <c r="S217" s="11" t="s">
        <v>54</v>
      </c>
      <c r="T217" s="11" t="s">
        <v>55</v>
      </c>
      <c r="U217" s="11" t="s">
        <v>56</v>
      </c>
      <c r="V217" s="11" t="s">
        <v>57</v>
      </c>
      <c r="W217" s="11" t="s">
        <v>58</v>
      </c>
      <c r="X217" s="11" t="s">
        <v>59</v>
      </c>
      <c r="Y217" s="11" t="s">
        <v>60</v>
      </c>
      <c r="Z217" s="11" t="s">
        <v>61</v>
      </c>
      <c r="AA217" s="11" t="s">
        <v>62</v>
      </c>
      <c r="AB217" s="11" t="s">
        <v>63</v>
      </c>
      <c r="AC217" s="11" t="s">
        <v>64</v>
      </c>
      <c r="AD217" s="11" t="s">
        <v>65</v>
      </c>
      <c r="AE217" s="11" t="s">
        <v>66</v>
      </c>
      <c r="AF217" s="11" t="s">
        <v>67</v>
      </c>
      <c r="AG217" s="11" t="s">
        <v>68</v>
      </c>
      <c r="AH217" s="11" t="s">
        <v>69</v>
      </c>
      <c r="AI217" s="11" t="s">
        <v>70</v>
      </c>
      <c r="AJ217" s="11" t="s">
        <v>71</v>
      </c>
      <c r="AK217" s="11" t="s">
        <v>72</v>
      </c>
      <c r="AL217" s="11" t="s">
        <v>73</v>
      </c>
      <c r="AM217" s="11" t="s">
        <v>74</v>
      </c>
    </row>
    <row r="218" spans="2:41" x14ac:dyDescent="0.2">
      <c r="B218" s="22" t="str">
        <f>'Wzorzec kategorii'!B180</f>
        <v>.</v>
      </c>
      <c r="C218" s="19">
        <v>0</v>
      </c>
      <c r="D218" s="20">
        <f>SUM(Tabela19234559283[#This Row])</f>
        <v>0</v>
      </c>
      <c r="E218" s="20">
        <f t="shared" ref="E218:E227" si="27">C218-D218</f>
        <v>0</v>
      </c>
      <c r="F218" s="21" t="str">
        <f t="shared" ref="F218:F227" si="28">IFERROR(D218/C218,"")</f>
        <v/>
      </c>
      <c r="G218" s="24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2:41" x14ac:dyDescent="0.2">
      <c r="B219" s="22" t="str">
        <f>'Wzorzec kategorii'!B181</f>
        <v>.</v>
      </c>
      <c r="C219" s="19">
        <v>0</v>
      </c>
      <c r="D219" s="20">
        <f>SUM(Tabela19234559283[#This Row])</f>
        <v>0</v>
      </c>
      <c r="E219" s="20">
        <f t="shared" si="27"/>
        <v>0</v>
      </c>
      <c r="F219" s="21" t="str">
        <f t="shared" si="28"/>
        <v/>
      </c>
      <c r="G219" s="24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 spans="2:41" x14ac:dyDescent="0.2">
      <c r="B220" s="22" t="str">
        <f>'Wzorzec kategorii'!B182</f>
        <v>.</v>
      </c>
      <c r="C220" s="19">
        <v>0</v>
      </c>
      <c r="D220" s="20">
        <f>SUM(Tabela19234559283[#This Row])</f>
        <v>0</v>
      </c>
      <c r="E220" s="20">
        <f t="shared" si="27"/>
        <v>0</v>
      </c>
      <c r="F220" s="21" t="str">
        <f t="shared" si="28"/>
        <v/>
      </c>
      <c r="G220" s="24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 spans="2:41" x14ac:dyDescent="0.2">
      <c r="B221" s="22" t="str">
        <f>'Wzorzec kategorii'!B183</f>
        <v>.</v>
      </c>
      <c r="C221" s="19">
        <v>0</v>
      </c>
      <c r="D221" s="20">
        <f>SUM(Tabela19234559283[#This Row])</f>
        <v>0</v>
      </c>
      <c r="E221" s="20">
        <f t="shared" si="27"/>
        <v>0</v>
      </c>
      <c r="F221" s="21" t="str">
        <f t="shared" si="28"/>
        <v/>
      </c>
      <c r="G221" s="24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 spans="2:41" x14ac:dyDescent="0.2">
      <c r="B222" s="22" t="str">
        <f>'Wzorzec kategorii'!B184</f>
        <v>.</v>
      </c>
      <c r="C222" s="19">
        <v>0</v>
      </c>
      <c r="D222" s="20">
        <f>SUM(Tabela19234559283[#This Row])</f>
        <v>0</v>
      </c>
      <c r="E222" s="20">
        <f t="shared" si="27"/>
        <v>0</v>
      </c>
      <c r="F222" s="21" t="str">
        <f t="shared" si="28"/>
        <v/>
      </c>
      <c r="G222" s="24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</row>
    <row r="223" spans="2:41" x14ac:dyDescent="0.2">
      <c r="B223" s="22" t="str">
        <f>'Wzorzec kategorii'!B185</f>
        <v>.</v>
      </c>
      <c r="C223" s="19">
        <v>0</v>
      </c>
      <c r="D223" s="20">
        <f>SUM(Tabela19234559283[#This Row])</f>
        <v>0</v>
      </c>
      <c r="E223" s="20">
        <f t="shared" si="27"/>
        <v>0</v>
      </c>
      <c r="F223" s="21" t="str">
        <f t="shared" si="28"/>
        <v/>
      </c>
      <c r="G223" s="24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</row>
    <row r="224" spans="2:41" x14ac:dyDescent="0.2">
      <c r="B224" s="22" t="str">
        <f>'Wzorzec kategorii'!B186</f>
        <v>.</v>
      </c>
      <c r="C224" s="19">
        <v>0</v>
      </c>
      <c r="D224" s="20">
        <f>SUM(Tabela19234559283[#This Row])</f>
        <v>0</v>
      </c>
      <c r="E224" s="20">
        <f t="shared" si="27"/>
        <v>0</v>
      </c>
      <c r="F224" s="21" t="str">
        <f t="shared" si="28"/>
        <v/>
      </c>
      <c r="G224" s="24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2:39" x14ac:dyDescent="0.2">
      <c r="B225" s="22" t="str">
        <f>'Wzorzec kategorii'!B187</f>
        <v>.</v>
      </c>
      <c r="C225" s="19">
        <v>0</v>
      </c>
      <c r="D225" s="20">
        <f>SUM(Tabela19234559283[#This Row])</f>
        <v>0</v>
      </c>
      <c r="E225" s="20">
        <f t="shared" si="27"/>
        <v>0</v>
      </c>
      <c r="F225" s="21" t="str">
        <f t="shared" si="28"/>
        <v/>
      </c>
      <c r="G225" s="24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 spans="2:39" x14ac:dyDescent="0.2">
      <c r="B226" s="22" t="str">
        <f>'Wzorzec kategorii'!B188</f>
        <v>.</v>
      </c>
      <c r="C226" s="19">
        <v>0</v>
      </c>
      <c r="D226" s="20">
        <f>SUM(Tabela19234559283[#This Row])</f>
        <v>0</v>
      </c>
      <c r="E226" s="20">
        <f t="shared" si="27"/>
        <v>0</v>
      </c>
      <c r="F226" s="53" t="str">
        <f t="shared" si="28"/>
        <v/>
      </c>
      <c r="G226" s="54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</row>
    <row r="227" spans="2:39" x14ac:dyDescent="0.2">
      <c r="B227" s="22" t="str">
        <f>'Wzorzec kategorii'!B189</f>
        <v>.</v>
      </c>
      <c r="C227" s="19">
        <v>0</v>
      </c>
      <c r="D227" s="20">
        <f>SUM(Tabela19234559283[#This Row])</f>
        <v>0</v>
      </c>
      <c r="E227" s="20">
        <f t="shared" si="27"/>
        <v>0</v>
      </c>
      <c r="F227" s="53" t="str">
        <f t="shared" si="28"/>
        <v/>
      </c>
      <c r="G227" s="54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</row>
    <row r="228" spans="2:39" x14ac:dyDescent="0.2"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</row>
    <row r="229" spans="2:39" x14ac:dyDescent="0.2">
      <c r="B229" s="2" t="str">
        <f>'Wzorzec kategorii'!B191</f>
        <v>INNE 2</v>
      </c>
      <c r="C229" s="3">
        <f>SUM(Tabela16405860284[[#All],[Kolumna2]])</f>
        <v>0</v>
      </c>
      <c r="D229" s="16">
        <f>SUM(Tabela16405860284[[#All],[Kolumna3]])</f>
        <v>0</v>
      </c>
      <c r="E229" s="3">
        <f>C229-D229</f>
        <v>0</v>
      </c>
      <c r="F229" s="17" t="str">
        <f>IFERROR(D229/C229,"")</f>
        <v/>
      </c>
      <c r="G229" s="3"/>
      <c r="I229" s="11" t="s">
        <v>44</v>
      </c>
      <c r="J229" s="11" t="s">
        <v>45</v>
      </c>
      <c r="K229" s="11" t="s">
        <v>46</v>
      </c>
      <c r="L229" s="11" t="s">
        <v>47</v>
      </c>
      <c r="M229" s="11" t="s">
        <v>48</v>
      </c>
      <c r="N229" s="11" t="s">
        <v>49</v>
      </c>
      <c r="O229" s="11" t="s">
        <v>50</v>
      </c>
      <c r="P229" s="11" t="s">
        <v>51</v>
      </c>
      <c r="Q229" s="11" t="s">
        <v>52</v>
      </c>
      <c r="R229" s="11" t="s">
        <v>53</v>
      </c>
      <c r="S229" s="11" t="s">
        <v>54</v>
      </c>
      <c r="T229" s="11" t="s">
        <v>55</v>
      </c>
      <c r="U229" s="11" t="s">
        <v>56</v>
      </c>
      <c r="V229" s="11" t="s">
        <v>57</v>
      </c>
      <c r="W229" s="11" t="s">
        <v>58</v>
      </c>
      <c r="X229" s="11" t="s">
        <v>59</v>
      </c>
      <c r="Y229" s="11" t="s">
        <v>60</v>
      </c>
      <c r="Z229" s="11" t="s">
        <v>61</v>
      </c>
      <c r="AA229" s="11" t="s">
        <v>62</v>
      </c>
      <c r="AB229" s="11" t="s">
        <v>63</v>
      </c>
      <c r="AC229" s="11" t="s">
        <v>64</v>
      </c>
      <c r="AD229" s="11" t="s">
        <v>65</v>
      </c>
      <c r="AE229" s="11" t="s">
        <v>66</v>
      </c>
      <c r="AF229" s="11" t="s">
        <v>67</v>
      </c>
      <c r="AG229" s="11" t="s">
        <v>68</v>
      </c>
      <c r="AH229" s="11" t="s">
        <v>69</v>
      </c>
      <c r="AI229" s="11" t="s">
        <v>70</v>
      </c>
      <c r="AJ229" s="11" t="s">
        <v>71</v>
      </c>
      <c r="AK229" s="11" t="s">
        <v>72</v>
      </c>
      <c r="AL229" s="11" t="s">
        <v>73</v>
      </c>
      <c r="AM229" s="11" t="s">
        <v>74</v>
      </c>
    </row>
    <row r="230" spans="2:39" x14ac:dyDescent="0.2">
      <c r="B230" s="22" t="str">
        <f>'Wzorzec kategorii'!B192</f>
        <v>.</v>
      </c>
      <c r="C230" s="19">
        <v>0</v>
      </c>
      <c r="D230" s="20">
        <f>SUM(Tabela1923455962286[#This Row])</f>
        <v>0</v>
      </c>
      <c r="E230" s="20">
        <f t="shared" ref="E230:E239" si="29">C230-D230</f>
        <v>0</v>
      </c>
      <c r="F230" s="21" t="str">
        <f t="shared" ref="F230:F239" si="30">IFERROR(D230/C230,"")</f>
        <v/>
      </c>
      <c r="G230" s="24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2:39" x14ac:dyDescent="0.2">
      <c r="B231" s="22" t="str">
        <f>'Wzorzec kategorii'!B193</f>
        <v>.</v>
      </c>
      <c r="C231" s="19">
        <v>0</v>
      </c>
      <c r="D231" s="20">
        <f>SUM(Tabela1923455962286[#This Row])</f>
        <v>0</v>
      </c>
      <c r="E231" s="20">
        <f t="shared" si="29"/>
        <v>0</v>
      </c>
      <c r="F231" s="21" t="str">
        <f t="shared" si="30"/>
        <v/>
      </c>
      <c r="G231" s="24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 spans="2:39" x14ac:dyDescent="0.2">
      <c r="B232" s="22" t="str">
        <f>'Wzorzec kategorii'!B194</f>
        <v>.</v>
      </c>
      <c r="C232" s="19">
        <v>0</v>
      </c>
      <c r="D232" s="20">
        <f>SUM(Tabela1923455962286[#This Row])</f>
        <v>0</v>
      </c>
      <c r="E232" s="20">
        <f t="shared" si="29"/>
        <v>0</v>
      </c>
      <c r="F232" s="21" t="str">
        <f t="shared" si="30"/>
        <v/>
      </c>
      <c r="G232" s="24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</row>
    <row r="233" spans="2:39" x14ac:dyDescent="0.2">
      <c r="B233" s="22" t="str">
        <f>'Wzorzec kategorii'!B195</f>
        <v>.</v>
      </c>
      <c r="C233" s="19">
        <v>0</v>
      </c>
      <c r="D233" s="20">
        <f>SUM(Tabela1923455962286[#This Row])</f>
        <v>0</v>
      </c>
      <c r="E233" s="20">
        <f t="shared" si="29"/>
        <v>0</v>
      </c>
      <c r="F233" s="21" t="str">
        <f t="shared" si="30"/>
        <v/>
      </c>
      <c r="G233" s="24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2:39" x14ac:dyDescent="0.2">
      <c r="B234" s="22" t="str">
        <f>'Wzorzec kategorii'!B196</f>
        <v>.</v>
      </c>
      <c r="C234" s="19">
        <v>0</v>
      </c>
      <c r="D234" s="20">
        <f>SUM(Tabela1923455962286[#This Row])</f>
        <v>0</v>
      </c>
      <c r="E234" s="20">
        <f t="shared" si="29"/>
        <v>0</v>
      </c>
      <c r="F234" s="21" t="str">
        <f t="shared" si="30"/>
        <v/>
      </c>
      <c r="G234" s="24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 spans="2:39" x14ac:dyDescent="0.2">
      <c r="B235" s="22" t="str">
        <f>'Wzorzec kategorii'!B197</f>
        <v>.</v>
      </c>
      <c r="C235" s="19">
        <v>0</v>
      </c>
      <c r="D235" s="20">
        <f>SUM(Tabela1923455962286[#This Row])</f>
        <v>0</v>
      </c>
      <c r="E235" s="20">
        <f t="shared" si="29"/>
        <v>0</v>
      </c>
      <c r="F235" s="21" t="str">
        <f t="shared" si="30"/>
        <v/>
      </c>
      <c r="G235" s="24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 spans="2:39" x14ac:dyDescent="0.2">
      <c r="B236" s="22" t="str">
        <f>'Wzorzec kategorii'!B198</f>
        <v>.</v>
      </c>
      <c r="C236" s="19">
        <v>0</v>
      </c>
      <c r="D236" s="20">
        <f>SUM(Tabela1923455962286[#This Row])</f>
        <v>0</v>
      </c>
      <c r="E236" s="20">
        <f t="shared" si="29"/>
        <v>0</v>
      </c>
      <c r="F236" s="21" t="str">
        <f t="shared" si="30"/>
        <v/>
      </c>
      <c r="G236" s="24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 spans="2:39" x14ac:dyDescent="0.2">
      <c r="B237" s="22" t="str">
        <f>'Wzorzec kategorii'!B199</f>
        <v>.</v>
      </c>
      <c r="C237" s="19">
        <v>0</v>
      </c>
      <c r="D237" s="20">
        <f>SUM(Tabela1923455962286[#This Row])</f>
        <v>0</v>
      </c>
      <c r="E237" s="20">
        <f t="shared" si="29"/>
        <v>0</v>
      </c>
      <c r="F237" s="21" t="str">
        <f t="shared" si="30"/>
        <v/>
      </c>
      <c r="G237" s="24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 spans="2:39" x14ac:dyDescent="0.2">
      <c r="B238" s="22" t="str">
        <f>'Wzorzec kategorii'!B200</f>
        <v>.</v>
      </c>
      <c r="C238" s="19">
        <v>0</v>
      </c>
      <c r="D238" s="20">
        <f>SUM(Tabela1923455962286[#This Row])</f>
        <v>0</v>
      </c>
      <c r="E238" s="20">
        <f t="shared" si="29"/>
        <v>0</v>
      </c>
      <c r="F238" s="53" t="str">
        <f t="shared" si="30"/>
        <v/>
      </c>
      <c r="G238" s="54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</row>
    <row r="239" spans="2:39" x14ac:dyDescent="0.2">
      <c r="B239" s="22" t="str">
        <f>'Wzorzec kategorii'!B201</f>
        <v>.</v>
      </c>
      <c r="C239" s="19">
        <v>0</v>
      </c>
      <c r="D239" s="20">
        <f>SUM(Tabela1923455962286[#This Row])</f>
        <v>0</v>
      </c>
      <c r="E239" s="20">
        <f t="shared" si="29"/>
        <v>0</v>
      </c>
      <c r="F239" s="53" t="str">
        <f t="shared" si="30"/>
        <v/>
      </c>
      <c r="G239" s="54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</row>
    <row r="240" spans="2:39" x14ac:dyDescent="0.2"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</row>
    <row r="241" spans="2:39" x14ac:dyDescent="0.2">
      <c r="B241" s="2" t="str">
        <f>'Wzorzec kategorii'!B203</f>
        <v>INNE 3</v>
      </c>
      <c r="C241" s="3">
        <f>SUM(Tabela1640586061285[[#All],[Kolumna2]])</f>
        <v>0</v>
      </c>
      <c r="D241" s="16">
        <f>SUM(Tabela1640586061285[[#All],[Kolumna3]])</f>
        <v>0</v>
      </c>
      <c r="E241" s="3">
        <f>C241-D241</f>
        <v>0</v>
      </c>
      <c r="F241" s="17" t="str">
        <f>IFERROR(D241/C241,"")</f>
        <v/>
      </c>
      <c r="G241" s="3"/>
      <c r="I241" s="11" t="s">
        <v>44</v>
      </c>
      <c r="J241" s="11" t="s">
        <v>45</v>
      </c>
      <c r="K241" s="11" t="s">
        <v>46</v>
      </c>
      <c r="L241" s="11" t="s">
        <v>47</v>
      </c>
      <c r="M241" s="11" t="s">
        <v>48</v>
      </c>
      <c r="N241" s="11" t="s">
        <v>49</v>
      </c>
      <c r="O241" s="11" t="s">
        <v>50</v>
      </c>
      <c r="P241" s="11" t="s">
        <v>51</v>
      </c>
      <c r="Q241" s="11" t="s">
        <v>52</v>
      </c>
      <c r="R241" s="11" t="s">
        <v>53</v>
      </c>
      <c r="S241" s="11" t="s">
        <v>54</v>
      </c>
      <c r="T241" s="11" t="s">
        <v>55</v>
      </c>
      <c r="U241" s="11" t="s">
        <v>56</v>
      </c>
      <c r="V241" s="11" t="s">
        <v>57</v>
      </c>
      <c r="W241" s="11" t="s">
        <v>58</v>
      </c>
      <c r="X241" s="11" t="s">
        <v>59</v>
      </c>
      <c r="Y241" s="11" t="s">
        <v>60</v>
      </c>
      <c r="Z241" s="11" t="s">
        <v>61</v>
      </c>
      <c r="AA241" s="11" t="s">
        <v>62</v>
      </c>
      <c r="AB241" s="11" t="s">
        <v>63</v>
      </c>
      <c r="AC241" s="11" t="s">
        <v>64</v>
      </c>
      <c r="AD241" s="11" t="s">
        <v>65</v>
      </c>
      <c r="AE241" s="11" t="s">
        <v>66</v>
      </c>
      <c r="AF241" s="11" t="s">
        <v>67</v>
      </c>
      <c r="AG241" s="11" t="s">
        <v>68</v>
      </c>
      <c r="AH241" s="11" t="s">
        <v>69</v>
      </c>
      <c r="AI241" s="11" t="s">
        <v>70</v>
      </c>
      <c r="AJ241" s="11" t="s">
        <v>71</v>
      </c>
      <c r="AK241" s="11" t="s">
        <v>72</v>
      </c>
      <c r="AL241" s="11" t="s">
        <v>73</v>
      </c>
      <c r="AM241" s="11" t="s">
        <v>74</v>
      </c>
    </row>
    <row r="242" spans="2:39" x14ac:dyDescent="0.2">
      <c r="B242" s="22" t="str">
        <f>'Wzorzec kategorii'!B204</f>
        <v>.</v>
      </c>
      <c r="C242" s="19">
        <v>0</v>
      </c>
      <c r="D242" s="20">
        <f>SUM(Tabela1923455963287[#This Row])</f>
        <v>0</v>
      </c>
      <c r="E242" s="20">
        <f t="shared" ref="E242:E251" si="31">C242-D242</f>
        <v>0</v>
      </c>
      <c r="F242" s="21" t="str">
        <f t="shared" ref="F242:F251" si="32">IFERROR(D242/C242,"")</f>
        <v/>
      </c>
      <c r="G242" s="24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2:39" x14ac:dyDescent="0.2">
      <c r="B243" s="22" t="str">
        <f>'Wzorzec kategorii'!B205</f>
        <v>.</v>
      </c>
      <c r="C243" s="19">
        <v>0</v>
      </c>
      <c r="D243" s="20">
        <f>SUM(Tabela1923455963287[#This Row])</f>
        <v>0</v>
      </c>
      <c r="E243" s="20">
        <f t="shared" si="31"/>
        <v>0</v>
      </c>
      <c r="F243" s="21" t="str">
        <f t="shared" si="32"/>
        <v/>
      </c>
      <c r="G243" s="24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 spans="2:39" x14ac:dyDescent="0.2">
      <c r="B244" s="22" t="str">
        <f>'Wzorzec kategorii'!B206</f>
        <v>.</v>
      </c>
      <c r="C244" s="19">
        <v>0</v>
      </c>
      <c r="D244" s="20">
        <f>SUM(Tabela1923455963287[#This Row])</f>
        <v>0</v>
      </c>
      <c r="E244" s="20">
        <f t="shared" si="31"/>
        <v>0</v>
      </c>
      <c r="F244" s="21" t="str">
        <f t="shared" si="32"/>
        <v/>
      </c>
      <c r="G244" s="24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 spans="2:39" x14ac:dyDescent="0.2">
      <c r="B245" s="22" t="str">
        <f>'Wzorzec kategorii'!B207</f>
        <v>.</v>
      </c>
      <c r="C245" s="19">
        <v>0</v>
      </c>
      <c r="D245" s="20">
        <f>SUM(Tabela1923455963287[#This Row])</f>
        <v>0</v>
      </c>
      <c r="E245" s="20">
        <f t="shared" si="31"/>
        <v>0</v>
      </c>
      <c r="F245" s="21" t="str">
        <f t="shared" si="32"/>
        <v/>
      </c>
      <c r="G245" s="24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2:39" x14ac:dyDescent="0.2">
      <c r="B246" s="22" t="str">
        <f>'Wzorzec kategorii'!B208</f>
        <v>.</v>
      </c>
      <c r="C246" s="19">
        <v>0</v>
      </c>
      <c r="D246" s="20">
        <f>SUM(Tabela1923455963287[#This Row])</f>
        <v>0</v>
      </c>
      <c r="E246" s="20">
        <f t="shared" si="31"/>
        <v>0</v>
      </c>
      <c r="F246" s="21" t="str">
        <f t="shared" si="32"/>
        <v/>
      </c>
      <c r="G246" s="24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 spans="2:39" x14ac:dyDescent="0.2">
      <c r="B247" s="22" t="str">
        <f>'Wzorzec kategorii'!B209</f>
        <v>.</v>
      </c>
      <c r="C247" s="19">
        <v>0</v>
      </c>
      <c r="D247" s="20">
        <f>SUM(Tabela1923455963287[#This Row])</f>
        <v>0</v>
      </c>
      <c r="E247" s="20">
        <f t="shared" si="31"/>
        <v>0</v>
      </c>
      <c r="F247" s="21" t="str">
        <f t="shared" si="32"/>
        <v/>
      </c>
      <c r="G247" s="24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</row>
    <row r="248" spans="2:39" x14ac:dyDescent="0.2">
      <c r="B248" s="22" t="str">
        <f>'Wzorzec kategorii'!B210</f>
        <v>.</v>
      </c>
      <c r="C248" s="19">
        <v>0</v>
      </c>
      <c r="D248" s="20">
        <f>SUM(Tabela1923455963287[#This Row])</f>
        <v>0</v>
      </c>
      <c r="E248" s="20">
        <f t="shared" si="31"/>
        <v>0</v>
      </c>
      <c r="F248" s="21" t="str">
        <f t="shared" si="32"/>
        <v/>
      </c>
      <c r="G248" s="24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 spans="2:39" x14ac:dyDescent="0.2">
      <c r="B249" s="22" t="str">
        <f>'Wzorzec kategorii'!B211</f>
        <v>.</v>
      </c>
      <c r="C249" s="19">
        <v>0</v>
      </c>
      <c r="D249" s="20">
        <f>SUM(Tabela1923455963287[#This Row])</f>
        <v>0</v>
      </c>
      <c r="E249" s="20">
        <f t="shared" si="31"/>
        <v>0</v>
      </c>
      <c r="F249" s="21" t="str">
        <f t="shared" si="32"/>
        <v/>
      </c>
      <c r="G249" s="24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 spans="2:39" x14ac:dyDescent="0.2">
      <c r="B250" s="22" t="str">
        <f>'Wzorzec kategorii'!B212</f>
        <v>.</v>
      </c>
      <c r="C250" s="19">
        <v>0</v>
      </c>
      <c r="D250" s="20">
        <f>SUM(Tabela1923455963287[#This Row])</f>
        <v>0</v>
      </c>
      <c r="E250" s="20">
        <f t="shared" si="31"/>
        <v>0</v>
      </c>
      <c r="F250" s="53" t="str">
        <f t="shared" si="32"/>
        <v/>
      </c>
      <c r="G250" s="54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</row>
    <row r="251" spans="2:39" x14ac:dyDescent="0.2">
      <c r="B251" s="22" t="str">
        <f>'Wzorzec kategorii'!B213</f>
        <v>.</v>
      </c>
      <c r="C251" s="19">
        <v>0</v>
      </c>
      <c r="D251" s="20">
        <f>SUM(Tabela1923455963287[#This Row])</f>
        <v>0</v>
      </c>
      <c r="E251" s="20">
        <f t="shared" si="31"/>
        <v>0</v>
      </c>
      <c r="F251" s="53" t="str">
        <f t="shared" si="32"/>
        <v/>
      </c>
      <c r="G251" s="54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</row>
    <row r="252" spans="2:39" x14ac:dyDescent="0.2"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</row>
    <row r="253" spans="2:39" ht="30" x14ac:dyDescent="0.2">
      <c r="C253" s="9" t="s">
        <v>131</v>
      </c>
      <c r="D253" s="10" t="s">
        <v>135</v>
      </c>
      <c r="E253" s="8" t="s">
        <v>129</v>
      </c>
      <c r="I253" s="9" t="s">
        <v>44</v>
      </c>
      <c r="J253" s="9" t="s">
        <v>45</v>
      </c>
      <c r="K253" s="9" t="s">
        <v>46</v>
      </c>
      <c r="L253" s="9" t="s">
        <v>47</v>
      </c>
      <c r="M253" s="9" t="s">
        <v>48</v>
      </c>
      <c r="N253" s="9" t="s">
        <v>49</v>
      </c>
      <c r="O253" s="9" t="s">
        <v>50</v>
      </c>
      <c r="P253" s="9" t="s">
        <v>51</v>
      </c>
      <c r="Q253" s="9" t="s">
        <v>52</v>
      </c>
      <c r="R253" s="9" t="s">
        <v>53</v>
      </c>
      <c r="S253" s="9" t="s">
        <v>54</v>
      </c>
      <c r="T253" s="9" t="s">
        <v>55</v>
      </c>
      <c r="U253" s="9" t="s">
        <v>56</v>
      </c>
      <c r="V253" s="9" t="s">
        <v>57</v>
      </c>
      <c r="W253" s="9" t="s">
        <v>58</v>
      </c>
      <c r="X253" s="9" t="s">
        <v>59</v>
      </c>
      <c r="Y253" s="9" t="s">
        <v>60</v>
      </c>
      <c r="Z253" s="9" t="s">
        <v>61</v>
      </c>
      <c r="AA253" s="9" t="s">
        <v>62</v>
      </c>
      <c r="AB253" s="9" t="s">
        <v>63</v>
      </c>
      <c r="AC253" s="9" t="s">
        <v>64</v>
      </c>
      <c r="AD253" s="9" t="s">
        <v>65</v>
      </c>
      <c r="AE253" s="9" t="s">
        <v>66</v>
      </c>
      <c r="AF253" s="9" t="s">
        <v>67</v>
      </c>
      <c r="AG253" s="9" t="s">
        <v>68</v>
      </c>
      <c r="AH253" s="9" t="s">
        <v>69</v>
      </c>
      <c r="AI253" s="9" t="s">
        <v>70</v>
      </c>
      <c r="AJ253" s="9" t="s">
        <v>71</v>
      </c>
      <c r="AK253" s="9" t="s">
        <v>72</v>
      </c>
      <c r="AL253" s="9" t="s">
        <v>73</v>
      </c>
      <c r="AM253" s="9" t="s">
        <v>74</v>
      </c>
    </row>
    <row r="254" spans="2:39" ht="22" customHeight="1" x14ac:dyDescent="0.2">
      <c r="B254" s="39" t="s">
        <v>31</v>
      </c>
      <c r="C254" s="40">
        <f>C71</f>
        <v>0</v>
      </c>
      <c r="D254" s="40">
        <f>D71</f>
        <v>0</v>
      </c>
      <c r="E254" s="40">
        <f>C254-D254</f>
        <v>0</v>
      </c>
      <c r="G254" s="39" t="s">
        <v>126</v>
      </c>
      <c r="I254" s="43">
        <f>SUM(I73:I251)</f>
        <v>0</v>
      </c>
      <c r="J254" s="43">
        <f>SUM(J73:J251)</f>
        <v>0</v>
      </c>
      <c r="K254" s="43">
        <f>SUM(K73:K251)</f>
        <v>0</v>
      </c>
      <c r="L254" s="43">
        <f t="shared" ref="L254:AM254" si="33">SUM(L73:L251)</f>
        <v>0</v>
      </c>
      <c r="M254" s="43">
        <f t="shared" si="33"/>
        <v>0</v>
      </c>
      <c r="N254" s="43">
        <f t="shared" si="33"/>
        <v>0</v>
      </c>
      <c r="O254" s="43">
        <f t="shared" si="33"/>
        <v>0</v>
      </c>
      <c r="P254" s="43">
        <f t="shared" si="33"/>
        <v>0</v>
      </c>
      <c r="Q254" s="43">
        <f t="shared" si="33"/>
        <v>0</v>
      </c>
      <c r="R254" s="43">
        <f t="shared" si="33"/>
        <v>0</v>
      </c>
      <c r="S254" s="43">
        <f t="shared" si="33"/>
        <v>0</v>
      </c>
      <c r="T254" s="43">
        <f t="shared" si="33"/>
        <v>0</v>
      </c>
      <c r="U254" s="43">
        <f t="shared" si="33"/>
        <v>0</v>
      </c>
      <c r="V254" s="43">
        <f t="shared" si="33"/>
        <v>0</v>
      </c>
      <c r="W254" s="43">
        <f t="shared" si="33"/>
        <v>0</v>
      </c>
      <c r="X254" s="43">
        <f t="shared" si="33"/>
        <v>0</v>
      </c>
      <c r="Y254" s="43">
        <f t="shared" si="33"/>
        <v>0</v>
      </c>
      <c r="Z254" s="43">
        <f t="shared" si="33"/>
        <v>0</v>
      </c>
      <c r="AA254" s="43">
        <f t="shared" si="33"/>
        <v>0</v>
      </c>
      <c r="AB254" s="43">
        <f t="shared" si="33"/>
        <v>0</v>
      </c>
      <c r="AC254" s="43">
        <f t="shared" si="33"/>
        <v>0</v>
      </c>
      <c r="AD254" s="43">
        <f t="shared" si="33"/>
        <v>0</v>
      </c>
      <c r="AE254" s="43">
        <f t="shared" si="33"/>
        <v>0</v>
      </c>
      <c r="AF254" s="43">
        <f t="shared" si="33"/>
        <v>0</v>
      </c>
      <c r="AG254" s="43">
        <f t="shared" si="33"/>
        <v>0</v>
      </c>
      <c r="AH254" s="43">
        <f t="shared" si="33"/>
        <v>0</v>
      </c>
      <c r="AI254" s="43">
        <f t="shared" si="33"/>
        <v>0</v>
      </c>
      <c r="AJ254" s="43">
        <f t="shared" si="33"/>
        <v>0</v>
      </c>
      <c r="AK254" s="43">
        <f t="shared" si="33"/>
        <v>0</v>
      </c>
      <c r="AL254" s="43">
        <f t="shared" si="33"/>
        <v>0</v>
      </c>
      <c r="AM254" s="43">
        <f t="shared" si="33"/>
        <v>0</v>
      </c>
    </row>
    <row r="255" spans="2:39" x14ac:dyDescent="0.2"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</row>
  </sheetData>
  <mergeCells count="27">
    <mergeCell ref="B12:C12"/>
    <mergeCell ref="B2:C2"/>
    <mergeCell ref="D2:E2"/>
    <mergeCell ref="B4:E4"/>
    <mergeCell ref="B9:C9"/>
    <mergeCell ref="B10:C10"/>
    <mergeCell ref="C32:D32"/>
    <mergeCell ref="B16:C16"/>
    <mergeCell ref="B17:C17"/>
    <mergeCell ref="B19:C19"/>
    <mergeCell ref="B21:E21"/>
    <mergeCell ref="B23:D23"/>
    <mergeCell ref="B25:E25"/>
    <mergeCell ref="C27:D27"/>
    <mergeCell ref="C28:D28"/>
    <mergeCell ref="C29:D29"/>
    <mergeCell ref="C30:D30"/>
    <mergeCell ref="C31:D31"/>
    <mergeCell ref="C39:D39"/>
    <mergeCell ref="C40:D40"/>
    <mergeCell ref="C41:D41"/>
    <mergeCell ref="C33:D33"/>
    <mergeCell ref="C34:D34"/>
    <mergeCell ref="C35:D35"/>
    <mergeCell ref="C36:D36"/>
    <mergeCell ref="C37:D37"/>
    <mergeCell ref="C38:D38"/>
  </mergeCells>
  <conditionalFormatting sqref="D73">
    <cfRule type="dataBar" priority="29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{1756F8E0-0550-AE47-8907-DBAA89FFA5A5}</x14:id>
        </ext>
      </extLst>
    </cfRule>
  </conditionalFormatting>
  <conditionalFormatting sqref="D85">
    <cfRule type="dataBar" priority="28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{1162D001-5E85-174B-9535-C57049A64FA9}</x14:id>
        </ext>
      </extLst>
    </cfRule>
  </conditionalFormatting>
  <conditionalFormatting sqref="B23:D23">
    <cfRule type="dataBar" priority="27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{67B0EF40-D13C-BB44-A075-1707C470CB8D}</x14:id>
        </ext>
      </extLst>
    </cfRule>
  </conditionalFormatting>
  <conditionalFormatting sqref="C27:D27">
    <cfRule type="dataBar" priority="26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{F04E8ADA-ED17-774F-8696-7BD7C66253E6}</x14:id>
        </ext>
      </extLst>
    </cfRule>
  </conditionalFormatting>
  <conditionalFormatting sqref="D97">
    <cfRule type="dataBar" priority="25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{DAD2E7AA-B3C1-0647-820C-EDFD0FD4D647}</x14:id>
        </ext>
      </extLst>
    </cfRule>
  </conditionalFormatting>
  <conditionalFormatting sqref="C28:D28">
    <cfRule type="dataBar" priority="24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{935D1AB6-C06D-D845-A73A-94E706A05B9F}</x14:id>
        </ext>
      </extLst>
    </cfRule>
  </conditionalFormatting>
  <conditionalFormatting sqref="C29:D29">
    <cfRule type="dataBar" priority="23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{B9C15ED8-BDD6-F643-9C1B-343C53162898}</x14:id>
        </ext>
      </extLst>
    </cfRule>
  </conditionalFormatting>
  <conditionalFormatting sqref="C30:D30">
    <cfRule type="dataBar" priority="22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{93268AB6-4C28-C346-9BAF-C301760B36C1}</x14:id>
        </ext>
      </extLst>
    </cfRule>
  </conditionalFormatting>
  <conditionalFormatting sqref="C31:D31">
    <cfRule type="dataBar" priority="21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{78F4B2E2-501B-E440-86BF-BFE7BB7144A5}</x14:id>
        </ext>
      </extLst>
    </cfRule>
  </conditionalFormatting>
  <conditionalFormatting sqref="C32:D32">
    <cfRule type="dataBar" priority="20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{25CC7F6B-C57D-B546-9B79-BB320E1C5208}</x14:id>
        </ext>
      </extLst>
    </cfRule>
  </conditionalFormatting>
  <conditionalFormatting sqref="C33:D33">
    <cfRule type="dataBar" priority="19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{29A37DBA-67D3-C34E-8B3F-3C14E580FCCD}</x14:id>
        </ext>
      </extLst>
    </cfRule>
  </conditionalFormatting>
  <conditionalFormatting sqref="C34:D34">
    <cfRule type="dataBar" priority="18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{CECBD924-9E95-E745-9111-9B62A7B4235B}</x14:id>
        </ext>
      </extLst>
    </cfRule>
  </conditionalFormatting>
  <conditionalFormatting sqref="C35:D35">
    <cfRule type="dataBar" priority="17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{2F287D18-3D28-8043-8C78-DA5F7E4BB950}</x14:id>
        </ext>
      </extLst>
    </cfRule>
  </conditionalFormatting>
  <conditionalFormatting sqref="C36:D36">
    <cfRule type="dataBar" priority="16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{23D1BCC3-0EDE-9F49-8DE9-9BEBC9CD298D}</x14:id>
        </ext>
      </extLst>
    </cfRule>
  </conditionalFormatting>
  <conditionalFormatting sqref="C37:D37">
    <cfRule type="dataBar" priority="15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{B51B7098-5E8F-094F-B7D7-4F222DCED150}</x14:id>
        </ext>
      </extLst>
    </cfRule>
  </conditionalFormatting>
  <conditionalFormatting sqref="C38:D41">
    <cfRule type="dataBar" priority="14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{A69131FB-8FA9-264F-BBCE-DCE0847B9E26}</x14:id>
        </ext>
      </extLst>
    </cfRule>
  </conditionalFormatting>
  <conditionalFormatting sqref="D109">
    <cfRule type="dataBar" priority="13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{325146CD-26D2-0643-8060-CA062D7CC9F2}</x14:id>
        </ext>
      </extLst>
    </cfRule>
  </conditionalFormatting>
  <conditionalFormatting sqref="D121">
    <cfRule type="dataBar" priority="12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{6AFEC096-13B9-2E4A-91B5-CE5F170A27AF}</x14:id>
        </ext>
      </extLst>
    </cfRule>
  </conditionalFormatting>
  <conditionalFormatting sqref="D133">
    <cfRule type="dataBar" priority="11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{A1A5B4A7-3570-4146-B989-F1AF490D13B8}</x14:id>
        </ext>
      </extLst>
    </cfRule>
  </conditionalFormatting>
  <conditionalFormatting sqref="D145">
    <cfRule type="dataBar" priority="10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{D688BEF9-BDA1-D540-8C28-37AB21231017}</x14:id>
        </ext>
      </extLst>
    </cfRule>
  </conditionalFormatting>
  <conditionalFormatting sqref="D157">
    <cfRule type="dataBar" priority="9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{91E3E6CF-5197-8842-8C7E-5CECCA21E5A4}</x14:id>
        </ext>
      </extLst>
    </cfRule>
  </conditionalFormatting>
  <conditionalFormatting sqref="D169">
    <cfRule type="dataBar" priority="8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{D33BCAE8-C806-0D45-A665-27801622FEF1}</x14:id>
        </ext>
      </extLst>
    </cfRule>
  </conditionalFormatting>
  <conditionalFormatting sqref="D181">
    <cfRule type="dataBar" priority="7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{391FF7C5-9921-7947-9ACD-48C682A1988D}</x14:id>
        </ext>
      </extLst>
    </cfRule>
  </conditionalFormatting>
  <conditionalFormatting sqref="D193">
    <cfRule type="dataBar" priority="6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{D16488F5-A1DE-F243-890B-7E5E8DA80913}</x14:id>
        </ext>
      </extLst>
    </cfRule>
  </conditionalFormatting>
  <conditionalFormatting sqref="D205">
    <cfRule type="dataBar" priority="5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{7FDBBED6-B128-F545-AA51-C9E4FD83F6AB}</x14:id>
        </ext>
      </extLst>
    </cfRule>
  </conditionalFormatting>
  <conditionalFormatting sqref="D51">
    <cfRule type="dataBar" priority="4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{B3B5BE7A-8680-4A4E-98C6-05BA28EBA172}</x14:id>
        </ext>
      </extLst>
    </cfRule>
  </conditionalFormatting>
  <conditionalFormatting sqref="D217">
    <cfRule type="dataBar" priority="3">
      <dataBar>
        <cfvo type="num" val="0"/>
        <cfvo type="formula" val="$C$217"/>
        <color rgb="FF92D050"/>
      </dataBar>
      <extLst>
        <ext xmlns:x14="http://schemas.microsoft.com/office/spreadsheetml/2009/9/main" uri="{B025F937-C7B1-47D3-B67F-A62EFF666E3E}">
          <x14:id>{A78F10D1-AA4A-174D-BEE3-47820C008658}</x14:id>
        </ext>
      </extLst>
    </cfRule>
  </conditionalFormatting>
  <conditionalFormatting sqref="D229">
    <cfRule type="dataBar" priority="2">
      <dataBar>
        <cfvo type="num" val="0"/>
        <cfvo type="formula" val="$C$229"/>
        <color rgb="FF92D050"/>
      </dataBar>
      <extLst>
        <ext xmlns:x14="http://schemas.microsoft.com/office/spreadsheetml/2009/9/main" uri="{B025F937-C7B1-47D3-B67F-A62EFF666E3E}">
          <x14:id>{EE719509-4268-3A47-98C2-16C990B15D49}</x14:id>
        </ext>
      </extLst>
    </cfRule>
  </conditionalFormatting>
  <conditionalFormatting sqref="D241">
    <cfRule type="dataBar" priority="1">
      <dataBar>
        <cfvo type="num" val="0"/>
        <cfvo type="formula" val="$C$241"/>
        <color rgb="FF92D050"/>
      </dataBar>
      <extLst>
        <ext xmlns:x14="http://schemas.microsoft.com/office/spreadsheetml/2009/9/main" uri="{B025F937-C7B1-47D3-B67F-A62EFF666E3E}">
          <x14:id>{8386065B-7862-6D4D-914F-D521146D3D96}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56F8E0-0550-AE47-8907-DBAA89FFA5A5}">
            <x14:dataBar minLength="0" maxLength="100" gradient="0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1162D001-5E85-174B-9535-C57049A64FA9}">
            <x14:dataBar minLength="0" maxLength="100" gradient="0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67B0EF40-D13C-BB44-A075-1707C470CB8D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F04E8ADA-ED17-774F-8696-7BD7C66253E6}">
            <x14:dataBar minLength="0" maxLength="100" gradient="0" direction="leftToRight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DAD2E7AA-B3C1-0647-820C-EDFD0FD4D647}">
            <x14:dataBar minLength="0" maxLength="100" gradient="0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935D1AB6-C06D-D845-A73A-94E706A05B9F}">
            <x14:dataBar minLength="0" maxLength="100" gradient="0" direction="leftToRight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B9C15ED8-BDD6-F643-9C1B-343C53162898}">
            <x14:dataBar minLength="0" maxLength="100" gradient="0" direction="leftToRight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93268AB6-4C28-C346-9BAF-C301760B36C1}">
            <x14:dataBar minLength="0" maxLength="100" gradient="0" direction="leftToRight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78F4B2E2-501B-E440-86BF-BFE7BB7144A5}">
            <x14:dataBar minLength="0" maxLength="100" gradient="0" direction="leftToRight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25CC7F6B-C57D-B546-9B79-BB320E1C5208}">
            <x14:dataBar minLength="0" maxLength="100" gradient="0" direction="leftToRight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29A37DBA-67D3-C34E-8B3F-3C14E580FCCD}">
            <x14:dataBar minLength="0" maxLength="100" gradient="0" direction="leftToRight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CECBD924-9E95-E745-9111-9B62A7B4235B}">
            <x14:dataBar minLength="0" maxLength="100" gradient="0" direction="leftToRight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2F287D18-3D28-8043-8C78-DA5F7E4BB950}">
            <x14:dataBar minLength="0" maxLength="100" gradient="0" direction="leftToRight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23D1BCC3-0EDE-9F49-8DE9-9BEBC9CD298D}">
            <x14:dataBar minLength="0" maxLength="100" gradient="0" direction="leftToRight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B51B7098-5E8F-094F-B7D7-4F222DCED150}">
            <x14:dataBar minLength="0" maxLength="100" gradient="0" direction="leftToRight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A69131FB-8FA9-264F-BBCE-DCE0847B9E26}">
            <x14:dataBar minLength="0" maxLength="100" gradient="0" direction="leftToRight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C38:D41</xm:sqref>
        </x14:conditionalFormatting>
        <x14:conditionalFormatting xmlns:xm="http://schemas.microsoft.com/office/excel/2006/main">
          <x14:cfRule type="dataBar" id="{325146CD-26D2-0643-8060-CA062D7CC9F2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D109</xm:sqref>
        </x14:conditionalFormatting>
        <x14:conditionalFormatting xmlns:xm="http://schemas.microsoft.com/office/excel/2006/main">
          <x14:cfRule type="dataBar" id="{6AFEC096-13B9-2E4A-91B5-CE5F170A27AF}">
            <x14:dataBar minLength="0" maxLength="100" gradient="0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D121</xm:sqref>
        </x14:conditionalFormatting>
        <x14:conditionalFormatting xmlns:xm="http://schemas.microsoft.com/office/excel/2006/main">
          <x14:cfRule type="dataBar" id="{A1A5B4A7-3570-4146-B989-F1AF490D13B8}">
            <x14:dataBar minLength="0" maxLength="100" gradient="0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D688BEF9-BDA1-D540-8C28-37AB21231017}">
            <x14:dataBar minLength="0" maxLength="100" gradient="0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91E3E6CF-5197-8842-8C7E-5CECCA21E5A4}">
            <x14:dataBar minLength="0" maxLength="100" gradient="0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D33BCAE8-C806-0D45-A665-27801622FEF1}">
            <x14:dataBar minLength="0" maxLength="100" gradient="0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391FF7C5-9921-7947-9ACD-48C682A1988D}">
            <x14:dataBar minLength="0" maxLength="100" gradient="0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D16488F5-A1DE-F243-890B-7E5E8DA80913}">
            <x14:dataBar minLength="0" maxLength="100" gradient="0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D193</xm:sqref>
        </x14:conditionalFormatting>
        <x14:conditionalFormatting xmlns:xm="http://schemas.microsoft.com/office/excel/2006/main">
          <x14:cfRule type="dataBar" id="{7FDBBED6-B128-F545-AA51-C9E4FD83F6AB}">
            <x14:dataBar minLength="0" maxLength="100" gradient="0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D205</xm:sqref>
        </x14:conditionalFormatting>
        <x14:conditionalFormatting xmlns:xm="http://schemas.microsoft.com/office/excel/2006/main">
          <x14:cfRule type="dataBar" id="{B3B5BE7A-8680-4A4E-98C6-05BA28EBA172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A78F10D1-AA4A-174D-BEE3-47820C008658}">
            <x14:dataBar minLength="0" maxLength="100" gradient="0">
              <x14:cfvo type="num">
                <xm:f>0</xm:f>
              </x14:cfvo>
              <x14:cfvo type="formula">
                <xm:f>$C$217</xm:f>
              </x14:cfvo>
              <x14:negativeFillColor rgb="FFFF0000"/>
              <x14:axisColor rgb="FF000000"/>
            </x14:dataBar>
          </x14:cfRule>
          <xm:sqref>D217</xm:sqref>
        </x14:conditionalFormatting>
        <x14:conditionalFormatting xmlns:xm="http://schemas.microsoft.com/office/excel/2006/main">
          <x14:cfRule type="dataBar" id="{EE719509-4268-3A47-98C2-16C990B15D49}">
            <x14:dataBar minLength="0" maxLength="100" gradient="0">
              <x14:cfvo type="num">
                <xm:f>0</xm:f>
              </x14:cfvo>
              <x14:cfvo type="formula">
                <xm:f>$C$229</xm:f>
              </x14:cfvo>
              <x14:negativeFillColor rgb="FFFF0000"/>
              <x14:axisColor rgb="FF000000"/>
            </x14:dataBar>
          </x14:cfRule>
          <xm:sqref>D229</xm:sqref>
        </x14:conditionalFormatting>
        <x14:conditionalFormatting xmlns:xm="http://schemas.microsoft.com/office/excel/2006/main">
          <x14:cfRule type="dataBar" id="{8386065B-7862-6D4D-914F-D521146D3D96}">
            <x14:dataBar minLength="0" maxLength="100" gradient="0">
              <x14:cfvo type="num">
                <xm:f>0</xm:f>
              </x14:cfvo>
              <x14:cfvo type="formula">
                <xm:f>$C$241</xm:f>
              </x14:cfvo>
              <x14:negativeFillColor rgb="FFFF0000"/>
              <x14:axisColor rgb="FF000000"/>
            </x14:dataBar>
          </x14:cfRule>
          <xm:sqref>D241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 enableFormatConditionsCalculation="0"/>
  <dimension ref="B2:AO255"/>
  <sheetViews>
    <sheetView showGridLines="0" workbookViewId="0">
      <pane xSplit="8" topLeftCell="I1" activePane="topRight" state="frozen"/>
      <selection activeCell="A12" sqref="A12"/>
      <selection pane="topRight" activeCell="I2" sqref="I2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  <col min="9" max="39" width="11.33203125" customWidth="1"/>
  </cols>
  <sheetData>
    <row r="2" spans="2:7" ht="24" x14ac:dyDescent="0.3">
      <c r="B2" s="66" t="s">
        <v>130</v>
      </c>
      <c r="C2" s="66"/>
      <c r="D2" s="67" t="s">
        <v>167</v>
      </c>
      <c r="E2" s="68"/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69" t="s">
        <v>144</v>
      </c>
      <c r="C4" s="70"/>
      <c r="D4" s="70"/>
      <c r="E4" s="70"/>
    </row>
    <row r="5" spans="2:7" outlineLevel="1" x14ac:dyDescent="0.2">
      <c r="B5" s="41" t="s">
        <v>147</v>
      </c>
      <c r="C5" s="45" t="s">
        <v>148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132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62" t="s">
        <v>127</v>
      </c>
      <c r="C9" s="62"/>
      <c r="D9" s="34">
        <f>C49</f>
        <v>0</v>
      </c>
      <c r="E9" s="18"/>
    </row>
    <row r="10" spans="2:7" x14ac:dyDescent="0.2">
      <c r="B10" s="62" t="s">
        <v>131</v>
      </c>
      <c r="C10" s="62"/>
      <c r="D10" s="34">
        <f>C71</f>
        <v>0</v>
      </c>
      <c r="E10" s="18"/>
    </row>
    <row r="11" spans="2:7" x14ac:dyDescent="0.2">
      <c r="B11" s="48"/>
      <c r="C11" s="48"/>
      <c r="D11" s="31"/>
      <c r="E11" s="18"/>
    </row>
    <row r="12" spans="2:7" ht="30" customHeight="1" x14ac:dyDescent="0.2">
      <c r="B12" s="63" t="s">
        <v>133</v>
      </c>
      <c r="C12" s="63"/>
      <c r="D12" s="36">
        <f>D9-D10</f>
        <v>0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134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62" t="s">
        <v>128</v>
      </c>
      <c r="C16" s="62"/>
      <c r="D16" s="28">
        <f>D49</f>
        <v>0</v>
      </c>
      <c r="E16" s="18"/>
    </row>
    <row r="17" spans="2:5" x14ac:dyDescent="0.2">
      <c r="B17" s="62" t="s">
        <v>135</v>
      </c>
      <c r="C17" s="62"/>
      <c r="D17" s="28">
        <f>D71</f>
        <v>0</v>
      </c>
      <c r="E17" s="18"/>
    </row>
    <row r="18" spans="2:5" x14ac:dyDescent="0.2">
      <c r="B18" s="48"/>
      <c r="C18" s="48"/>
      <c r="D18" s="28"/>
      <c r="E18" s="18"/>
    </row>
    <row r="19" spans="2:5" ht="30" customHeight="1" x14ac:dyDescent="0.2">
      <c r="B19" s="63" t="s">
        <v>136</v>
      </c>
      <c r="C19" s="63"/>
      <c r="D19" s="36">
        <f>D16-D17</f>
        <v>0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64" t="s">
        <v>137</v>
      </c>
      <c r="C21" s="64"/>
      <c r="D21" s="64"/>
      <c r="E21" s="64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60">
        <f>D17</f>
        <v>0</v>
      </c>
      <c r="C23" s="65"/>
      <c r="D23" s="61"/>
      <c r="E23" s="38" t="str">
        <f>IFERROR(D17/D16,"")</f>
        <v/>
      </c>
    </row>
    <row r="24" spans="2:5" ht="18" x14ac:dyDescent="0.2">
      <c r="B24" s="29"/>
      <c r="D24" s="30"/>
      <c r="E24" s="18"/>
    </row>
    <row r="25" spans="2:5" x14ac:dyDescent="0.2">
      <c r="B25" s="64" t="s">
        <v>138</v>
      </c>
      <c r="C25" s="64"/>
      <c r="D25" s="64"/>
      <c r="E25" s="64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B73</f>
        <v>Jedzenie</v>
      </c>
      <c r="C27" s="60">
        <f>D73</f>
        <v>0</v>
      </c>
      <c r="D27" s="72"/>
      <c r="E27" s="38" t="str">
        <f>IFERROR(D73/C73,"")</f>
        <v/>
      </c>
    </row>
    <row r="28" spans="2:5" ht="18" customHeight="1" x14ac:dyDescent="0.2">
      <c r="B28" s="29" t="str">
        <f>B85</f>
        <v>Mieszkanie / dom</v>
      </c>
      <c r="C28" s="60">
        <f>D85</f>
        <v>0</v>
      </c>
      <c r="D28" s="61"/>
      <c r="E28" s="38" t="str">
        <f>IFERROR(D85/C85,"")</f>
        <v/>
      </c>
    </row>
    <row r="29" spans="2:5" ht="18" customHeight="1" x14ac:dyDescent="0.2">
      <c r="B29" s="29" t="str">
        <f>B97</f>
        <v>Transport</v>
      </c>
      <c r="C29" s="60">
        <f>D97</f>
        <v>0</v>
      </c>
      <c r="D29" s="61"/>
      <c r="E29" s="38" t="str">
        <f>IFERROR(D97/C97,"")</f>
        <v/>
      </c>
    </row>
    <row r="30" spans="2:5" ht="18" customHeight="1" x14ac:dyDescent="0.2">
      <c r="B30" s="29" t="str">
        <f>B109</f>
        <v>Telekomunikacja</v>
      </c>
      <c r="C30" s="60">
        <f>D109</f>
        <v>0</v>
      </c>
      <c r="D30" s="61"/>
      <c r="E30" s="38" t="str">
        <f>IFERROR(D109/C109,"")</f>
        <v/>
      </c>
    </row>
    <row r="31" spans="2:5" ht="18" customHeight="1" x14ac:dyDescent="0.2">
      <c r="B31" s="29" t="str">
        <f>B121</f>
        <v>Opieka zdrowotna</v>
      </c>
      <c r="C31" s="60">
        <f>D121</f>
        <v>0</v>
      </c>
      <c r="D31" s="61"/>
      <c r="E31" s="38" t="str">
        <f>IFERROR(D121/C121,"")</f>
        <v/>
      </c>
    </row>
    <row r="32" spans="2:5" ht="18" customHeight="1" x14ac:dyDescent="0.2">
      <c r="B32" s="29" t="str">
        <f>B133</f>
        <v>Ubranie</v>
      </c>
      <c r="C32" s="60">
        <f>D133</f>
        <v>0</v>
      </c>
      <c r="D32" s="61"/>
      <c r="E32" s="38" t="str">
        <f>IFERROR(D133/C133,"")</f>
        <v/>
      </c>
    </row>
    <row r="33" spans="2:9" ht="18" customHeight="1" x14ac:dyDescent="0.2">
      <c r="B33" s="29" t="str">
        <f>B145</f>
        <v>Higiena</v>
      </c>
      <c r="C33" s="60">
        <f>D145</f>
        <v>0</v>
      </c>
      <c r="D33" s="61"/>
      <c r="E33" s="38" t="str">
        <f>IFERROR(D145/C145,"")</f>
        <v/>
      </c>
    </row>
    <row r="34" spans="2:9" ht="18" customHeight="1" x14ac:dyDescent="0.2">
      <c r="B34" s="29" t="str">
        <f>B157</f>
        <v>Dzieci</v>
      </c>
      <c r="C34" s="60">
        <f>D157</f>
        <v>0</v>
      </c>
      <c r="D34" s="61"/>
      <c r="E34" s="38" t="str">
        <f>IFERROR(D157/C157,"")</f>
        <v/>
      </c>
    </row>
    <row r="35" spans="2:9" ht="18" customHeight="1" x14ac:dyDescent="0.2">
      <c r="B35" s="29" t="str">
        <f>B169</f>
        <v>Rozrywka</v>
      </c>
      <c r="C35" s="60">
        <f>D169</f>
        <v>0</v>
      </c>
      <c r="D35" s="61"/>
      <c r="E35" s="38" t="str">
        <f>IFERROR(D169/C169,"")</f>
        <v/>
      </c>
    </row>
    <row r="36" spans="2:9" ht="18" customHeight="1" x14ac:dyDescent="0.2">
      <c r="B36" s="29" t="str">
        <f>B181</f>
        <v>Inne wydatki</v>
      </c>
      <c r="C36" s="60">
        <f>D181</f>
        <v>0</v>
      </c>
      <c r="D36" s="61"/>
      <c r="E36" s="38" t="str">
        <f>IFERROR(D181/C181,"")</f>
        <v/>
      </c>
    </row>
    <row r="37" spans="2:9" ht="18" customHeight="1" x14ac:dyDescent="0.2">
      <c r="B37" s="29" t="str">
        <f>B193</f>
        <v>Spłata długów</v>
      </c>
      <c r="C37" s="60">
        <f>D193</f>
        <v>0</v>
      </c>
      <c r="D37" s="61"/>
      <c r="E37" s="38" t="str">
        <f>IFERROR(D193/C193,"")</f>
        <v/>
      </c>
    </row>
    <row r="38" spans="2:9" ht="18" customHeight="1" x14ac:dyDescent="0.2">
      <c r="B38" s="29" t="str">
        <f>B205</f>
        <v>Budowanie oszczędności</v>
      </c>
      <c r="C38" s="60">
        <f>D205</f>
        <v>0</v>
      </c>
      <c r="D38" s="61"/>
      <c r="E38" s="38" t="str">
        <f>IFERROR(D205/C205,"")</f>
        <v/>
      </c>
    </row>
    <row r="39" spans="2:9" ht="18" customHeight="1" x14ac:dyDescent="0.2">
      <c r="B39" s="29" t="str">
        <f>B217</f>
        <v>INNE 1</v>
      </c>
      <c r="C39" s="60">
        <f>D217</f>
        <v>0</v>
      </c>
      <c r="D39" s="61"/>
      <c r="E39" s="38" t="str">
        <f>IFERROR(D217/C217,"")</f>
        <v/>
      </c>
    </row>
    <row r="40" spans="2:9" ht="18" customHeight="1" x14ac:dyDescent="0.2">
      <c r="B40" s="29" t="str">
        <f>B229</f>
        <v>INNE 2</v>
      </c>
      <c r="C40" s="60">
        <f>D229</f>
        <v>0</v>
      </c>
      <c r="D40" s="72"/>
      <c r="E40" s="38" t="str">
        <f>IFERROR(D229/C229,"")</f>
        <v/>
      </c>
    </row>
    <row r="41" spans="2:9" ht="18" customHeight="1" x14ac:dyDescent="0.2">
      <c r="B41" s="29" t="str">
        <f>B241</f>
        <v>INNE 3</v>
      </c>
      <c r="C41" s="60">
        <f>D241</f>
        <v>0</v>
      </c>
      <c r="D41" s="72"/>
      <c r="E41" s="38" t="str">
        <f>IFERROR(D241/C241,"")</f>
        <v/>
      </c>
    </row>
    <row r="42" spans="2:9" ht="18" x14ac:dyDescent="0.2">
      <c r="B42" s="29"/>
      <c r="D42" s="30"/>
      <c r="E42" s="18"/>
    </row>
    <row r="43" spans="2:9" x14ac:dyDescent="0.2">
      <c r="B43" s="18"/>
      <c r="C43" s="18"/>
      <c r="D43" s="18"/>
      <c r="E43" s="18"/>
    </row>
    <row r="44" spans="2:9" ht="22" thickBot="1" x14ac:dyDescent="0.3">
      <c r="B44" s="32" t="s">
        <v>42</v>
      </c>
      <c r="C44" s="33"/>
      <c r="D44" s="33"/>
      <c r="E44" s="33"/>
      <c r="F44" s="33"/>
      <c r="G44" s="33"/>
    </row>
    <row r="46" spans="2:9" ht="21" x14ac:dyDescent="0.25">
      <c r="B46" s="44" t="s">
        <v>26</v>
      </c>
      <c r="I46" s="7" t="s">
        <v>43</v>
      </c>
    </row>
    <row r="47" spans="2:9" x14ac:dyDescent="0.2">
      <c r="B47" s="1"/>
    </row>
    <row r="48" spans="2:9" ht="30" x14ac:dyDescent="0.2">
      <c r="B48" s="8" t="s">
        <v>0</v>
      </c>
      <c r="C48" s="9" t="s">
        <v>127</v>
      </c>
      <c r="D48" s="10" t="s">
        <v>128</v>
      </c>
      <c r="E48" s="8" t="s">
        <v>129</v>
      </c>
      <c r="F48" s="9" t="s">
        <v>140</v>
      </c>
      <c r="G48" s="8" t="s">
        <v>41</v>
      </c>
      <c r="I48" s="41" t="s">
        <v>159</v>
      </c>
    </row>
    <row r="49" spans="2:39" ht="26" customHeight="1" x14ac:dyDescent="0.2">
      <c r="B49" s="39" t="s">
        <v>139</v>
      </c>
      <c r="C49" s="40">
        <f>C51</f>
        <v>0</v>
      </c>
      <c r="D49" s="40">
        <f>D51</f>
        <v>0</v>
      </c>
      <c r="E49" s="40">
        <f>D49-C49</f>
        <v>0</v>
      </c>
      <c r="F49" s="8" t="s">
        <v>141</v>
      </c>
      <c r="G49" s="8"/>
      <c r="I49" s="43">
        <f>SUM(I52:I67)</f>
        <v>0</v>
      </c>
      <c r="J49" s="43">
        <f>SUM(J52:J67)</f>
        <v>0</v>
      </c>
      <c r="K49" s="43">
        <f t="shared" ref="K49:AM49" si="0">SUM(K52:K67)</f>
        <v>0</v>
      </c>
      <c r="L49" s="43">
        <f t="shared" si="0"/>
        <v>0</v>
      </c>
      <c r="M49" s="43">
        <f t="shared" si="0"/>
        <v>0</v>
      </c>
      <c r="N49" s="43">
        <f t="shared" si="0"/>
        <v>0</v>
      </c>
      <c r="O49" s="43">
        <f t="shared" si="0"/>
        <v>0</v>
      </c>
      <c r="P49" s="43">
        <f t="shared" si="0"/>
        <v>0</v>
      </c>
      <c r="Q49" s="43">
        <f t="shared" si="0"/>
        <v>0</v>
      </c>
      <c r="R49" s="43">
        <f t="shared" si="0"/>
        <v>0</v>
      </c>
      <c r="S49" s="43">
        <f t="shared" si="0"/>
        <v>0</v>
      </c>
      <c r="T49" s="43">
        <f t="shared" si="0"/>
        <v>0</v>
      </c>
      <c r="U49" s="43">
        <f t="shared" si="0"/>
        <v>0</v>
      </c>
      <c r="V49" s="43">
        <f t="shared" si="0"/>
        <v>0</v>
      </c>
      <c r="W49" s="43">
        <f t="shared" si="0"/>
        <v>0</v>
      </c>
      <c r="X49" s="43">
        <f t="shared" si="0"/>
        <v>0</v>
      </c>
      <c r="Y49" s="43">
        <f t="shared" si="0"/>
        <v>0</v>
      </c>
      <c r="Z49" s="43">
        <f t="shared" si="0"/>
        <v>0</v>
      </c>
      <c r="AA49" s="43">
        <f t="shared" si="0"/>
        <v>0</v>
      </c>
      <c r="AB49" s="43">
        <f t="shared" si="0"/>
        <v>0</v>
      </c>
      <c r="AC49" s="43">
        <f t="shared" si="0"/>
        <v>0</v>
      </c>
      <c r="AD49" s="43">
        <f t="shared" si="0"/>
        <v>0</v>
      </c>
      <c r="AE49" s="43">
        <f t="shared" si="0"/>
        <v>0</v>
      </c>
      <c r="AF49" s="43">
        <f t="shared" si="0"/>
        <v>0</v>
      </c>
      <c r="AG49" s="43">
        <f t="shared" si="0"/>
        <v>0</v>
      </c>
      <c r="AH49" s="43">
        <f t="shared" si="0"/>
        <v>0</v>
      </c>
      <c r="AI49" s="43">
        <f t="shared" si="0"/>
        <v>0</v>
      </c>
      <c r="AJ49" s="43">
        <f t="shared" si="0"/>
        <v>0</v>
      </c>
      <c r="AK49" s="43">
        <f t="shared" si="0"/>
        <v>0</v>
      </c>
      <c r="AL49" s="43">
        <f t="shared" si="0"/>
        <v>0</v>
      </c>
      <c r="AM49" s="43">
        <f t="shared" si="0"/>
        <v>0</v>
      </c>
    </row>
    <row r="50" spans="2:39" x14ac:dyDescent="0.2">
      <c r="B50" s="1"/>
    </row>
    <row r="51" spans="2:39" x14ac:dyDescent="0.2">
      <c r="B51" s="14" t="str">
        <f>'Wzorzec kategorii'!B14</f>
        <v>Całkowite przychody</v>
      </c>
      <c r="C51" s="15">
        <f>SUM(Tabela718291[[#All],[Kolumna2]])</f>
        <v>0</v>
      </c>
      <c r="D51" s="16">
        <f>SUM(Tabela718291[[#All],[Kolumna3]])</f>
        <v>0</v>
      </c>
      <c r="E51" s="15">
        <f>D51-C51</f>
        <v>0</v>
      </c>
      <c r="F51" s="17" t="str">
        <f>IFERROR(D51/C51,"")</f>
        <v/>
      </c>
      <c r="G51" s="15"/>
      <c r="I51" s="11" t="s">
        <v>44</v>
      </c>
      <c r="J51" s="11" t="s">
        <v>45</v>
      </c>
      <c r="K51" s="11" t="s">
        <v>46</v>
      </c>
      <c r="L51" s="11" t="s">
        <v>47</v>
      </c>
      <c r="M51" s="11" t="s">
        <v>48</v>
      </c>
      <c r="N51" s="11" t="s">
        <v>49</v>
      </c>
      <c r="O51" s="11" t="s">
        <v>50</v>
      </c>
      <c r="P51" s="11" t="s">
        <v>51</v>
      </c>
      <c r="Q51" s="11" t="s">
        <v>52</v>
      </c>
      <c r="R51" s="11" t="s">
        <v>53</v>
      </c>
      <c r="S51" s="11" t="s">
        <v>54</v>
      </c>
      <c r="T51" s="11" t="s">
        <v>55</v>
      </c>
      <c r="U51" s="11" t="s">
        <v>56</v>
      </c>
      <c r="V51" s="11" t="s">
        <v>57</v>
      </c>
      <c r="W51" s="11" t="s">
        <v>58</v>
      </c>
      <c r="X51" s="11" t="s">
        <v>59</v>
      </c>
      <c r="Y51" s="11" t="s">
        <v>60</v>
      </c>
      <c r="Z51" s="11" t="s">
        <v>61</v>
      </c>
      <c r="AA51" s="11" t="s">
        <v>62</v>
      </c>
      <c r="AB51" s="11" t="s">
        <v>63</v>
      </c>
      <c r="AC51" s="11" t="s">
        <v>64</v>
      </c>
      <c r="AD51" s="11" t="s">
        <v>65</v>
      </c>
      <c r="AE51" s="11" t="s">
        <v>66</v>
      </c>
      <c r="AF51" s="11" t="s">
        <v>67</v>
      </c>
      <c r="AG51" s="11" t="s">
        <v>68</v>
      </c>
      <c r="AH51" s="11" t="s">
        <v>69</v>
      </c>
      <c r="AI51" s="11" t="s">
        <v>70</v>
      </c>
      <c r="AJ51" s="11" t="s">
        <v>71</v>
      </c>
      <c r="AK51" s="11" t="s">
        <v>72</v>
      </c>
      <c r="AL51" s="11" t="s">
        <v>73</v>
      </c>
      <c r="AM51" s="11" t="s">
        <v>74</v>
      </c>
    </row>
    <row r="52" spans="2:39" x14ac:dyDescent="0.2">
      <c r="B52" s="22" t="str">
        <f>'Wzorzec kategorii'!B15</f>
        <v>Wynagrodzenie</v>
      </c>
      <c r="C52" s="19">
        <v>0</v>
      </c>
      <c r="D52" s="47">
        <f>SUM(Tabela33064320[#This Row])</f>
        <v>0</v>
      </c>
      <c r="E52" s="20">
        <f>Tabela718291[[#This Row],[Kolumna3]]-Tabela718291[[#This Row],[Kolumna2]]</f>
        <v>0</v>
      </c>
      <c r="F52" s="21" t="str">
        <f t="shared" ref="F52:F66" si="1">IFERROR(D52/C52,"")</f>
        <v/>
      </c>
      <c r="G52" s="2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ht="30" x14ac:dyDescent="0.2">
      <c r="B53" s="22" t="str">
        <f>'Wzorzec kategorii'!B16</f>
        <v>Wynagrodzenie Partnera / Partnerki</v>
      </c>
      <c r="C53" s="19">
        <v>0</v>
      </c>
      <c r="D53" s="47">
        <f>SUM(Tabela33064320[#This Row])</f>
        <v>0</v>
      </c>
      <c r="E53" s="20">
        <f>Tabela718291[[#This Row],[Kolumna3]]-Tabela718291[[#This Row],[Kolumna2]]</f>
        <v>0</v>
      </c>
      <c r="F53" s="21" t="str">
        <f t="shared" si="1"/>
        <v/>
      </c>
      <c r="G53" s="2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x14ac:dyDescent="0.2">
      <c r="B54" s="22" t="str">
        <f>'Wzorzec kategorii'!B17</f>
        <v>Premia</v>
      </c>
      <c r="C54" s="19">
        <v>0</v>
      </c>
      <c r="D54" s="47">
        <f>SUM(Tabela33064320[#This Row])</f>
        <v>0</v>
      </c>
      <c r="E54" s="20">
        <f>Tabela718291[[#This Row],[Kolumna3]]-Tabela718291[[#This Row],[Kolumna2]]</f>
        <v>0</v>
      </c>
      <c r="F54" s="21" t="str">
        <f t="shared" si="1"/>
        <v/>
      </c>
      <c r="G54" s="2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x14ac:dyDescent="0.2">
      <c r="B55" s="22" t="str">
        <f>'Wzorzec kategorii'!B18</f>
        <v>Przychody z premii bankowych</v>
      </c>
      <c r="C55" s="19">
        <v>0</v>
      </c>
      <c r="D55" s="47">
        <f>SUM(Tabela33064320[#This Row])</f>
        <v>0</v>
      </c>
      <c r="E55" s="20">
        <f>Tabela718291[[#This Row],[Kolumna3]]-Tabela718291[[#This Row],[Kolumna2]]</f>
        <v>0</v>
      </c>
      <c r="F55" s="21" t="str">
        <f t="shared" si="1"/>
        <v/>
      </c>
      <c r="G55" s="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x14ac:dyDescent="0.2">
      <c r="B56" s="22" t="str">
        <f>'Wzorzec kategorii'!B19</f>
        <v>Odsetki bankowe</v>
      </c>
      <c r="C56" s="19">
        <v>0</v>
      </c>
      <c r="D56" s="47">
        <f>SUM(Tabela33064320[#This Row])</f>
        <v>0</v>
      </c>
      <c r="E56" s="20">
        <f>Tabela718291[[#This Row],[Kolumna3]]-Tabela718291[[#This Row],[Kolumna2]]</f>
        <v>0</v>
      </c>
      <c r="F56" s="21" t="str">
        <f t="shared" si="1"/>
        <v/>
      </c>
      <c r="G56" s="2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2:39" x14ac:dyDescent="0.2">
      <c r="B57" s="22" t="str">
        <f>'Wzorzec kategorii'!B20</f>
        <v>Sprzedaż na Allegro itp.</v>
      </c>
      <c r="C57" s="19">
        <v>0</v>
      </c>
      <c r="D57" s="47">
        <f>SUM(Tabela33064320[#This Row])</f>
        <v>0</v>
      </c>
      <c r="E57" s="20">
        <f>Tabela718291[[#This Row],[Kolumna3]]-Tabela718291[[#This Row],[Kolumna2]]</f>
        <v>0</v>
      </c>
      <c r="F57" s="21" t="str">
        <f t="shared" si="1"/>
        <v/>
      </c>
      <c r="G57" s="2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9" x14ac:dyDescent="0.2">
      <c r="B58" s="22" t="str">
        <f>'Wzorzec kategorii'!B21</f>
        <v>Inne przychody</v>
      </c>
      <c r="C58" s="19">
        <v>0</v>
      </c>
      <c r="D58" s="47">
        <f>SUM(Tabela33064320[#This Row])</f>
        <v>0</v>
      </c>
      <c r="E58" s="20">
        <f>Tabela718291[[#This Row],[Kolumna3]]-Tabela718291[[#This Row],[Kolumna2]]</f>
        <v>0</v>
      </c>
      <c r="F58" s="21" t="str">
        <f t="shared" si="1"/>
        <v/>
      </c>
      <c r="G58" s="2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2:39" x14ac:dyDescent="0.2">
      <c r="B59" s="22" t="str">
        <f>'Wzorzec kategorii'!B22</f>
        <v>.</v>
      </c>
      <c r="C59" s="19">
        <v>0</v>
      </c>
      <c r="D59" s="47">
        <f>SUM(Tabela33064320[#This Row])</f>
        <v>0</v>
      </c>
      <c r="E59" s="20">
        <f>Tabela718291[[#This Row],[Kolumna3]]-Tabela718291[[#This Row],[Kolumna2]]</f>
        <v>0</v>
      </c>
      <c r="F59" s="53" t="str">
        <f t="shared" si="1"/>
        <v/>
      </c>
      <c r="G59" s="2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2:39" x14ac:dyDescent="0.2">
      <c r="B60" s="22" t="str">
        <f>'Wzorzec kategorii'!B23</f>
        <v>.</v>
      </c>
      <c r="C60" s="19">
        <v>0</v>
      </c>
      <c r="D60" s="47">
        <f>SUM(Tabela33064320[#This Row])</f>
        <v>0</v>
      </c>
      <c r="E60" s="20">
        <f>Tabela718291[[#This Row],[Kolumna3]]-Tabela718291[[#This Row],[Kolumna2]]</f>
        <v>0</v>
      </c>
      <c r="F60" s="53" t="str">
        <f t="shared" si="1"/>
        <v/>
      </c>
      <c r="G60" s="2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2:39" x14ac:dyDescent="0.2">
      <c r="B61" s="22" t="str">
        <f>'Wzorzec kategorii'!B24</f>
        <v>.</v>
      </c>
      <c r="C61" s="19">
        <v>0</v>
      </c>
      <c r="D61" s="47">
        <f>SUM(Tabela33064320[#This Row])</f>
        <v>0</v>
      </c>
      <c r="E61" s="20">
        <f>Tabela718291[[#This Row],[Kolumna3]]-Tabela718291[[#This Row],[Kolumna2]]</f>
        <v>0</v>
      </c>
      <c r="F61" s="53" t="str">
        <f t="shared" si="1"/>
        <v/>
      </c>
      <c r="G61" s="2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2:39" x14ac:dyDescent="0.2">
      <c r="B62" s="22" t="str">
        <f>'Wzorzec kategorii'!B25</f>
        <v>.</v>
      </c>
      <c r="C62" s="19">
        <v>0</v>
      </c>
      <c r="D62" s="47">
        <f>SUM(Tabela33064320[#This Row])</f>
        <v>0</v>
      </c>
      <c r="E62" s="20">
        <f>Tabela718291[[#This Row],[Kolumna3]]-Tabela718291[[#This Row],[Kolumna2]]</f>
        <v>0</v>
      </c>
      <c r="F62" s="53" t="str">
        <f t="shared" si="1"/>
        <v/>
      </c>
      <c r="G62" s="2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:39" x14ac:dyDescent="0.2">
      <c r="B63" s="22" t="str">
        <f>'Wzorzec kategorii'!B26</f>
        <v>.</v>
      </c>
      <c r="C63" s="19">
        <v>0</v>
      </c>
      <c r="D63" s="47">
        <f>SUM(Tabela33064320[#This Row])</f>
        <v>0</v>
      </c>
      <c r="E63" s="20">
        <f>Tabela718291[[#This Row],[Kolumna3]]-Tabela718291[[#This Row],[Kolumna2]]</f>
        <v>0</v>
      </c>
      <c r="F63" s="53" t="str">
        <f t="shared" si="1"/>
        <v/>
      </c>
      <c r="G63" s="2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x14ac:dyDescent="0.2">
      <c r="B64" s="22" t="str">
        <f>'Wzorzec kategorii'!B27</f>
        <v>.</v>
      </c>
      <c r="C64" s="19">
        <v>0</v>
      </c>
      <c r="D64" s="47">
        <f>SUM(Tabela33064320[#This Row])</f>
        <v>0</v>
      </c>
      <c r="E64" s="20">
        <f>Tabela718291[[#This Row],[Kolumna3]]-Tabela718291[[#This Row],[Kolumna2]]</f>
        <v>0</v>
      </c>
      <c r="F64" s="53" t="str">
        <f t="shared" si="1"/>
        <v/>
      </c>
      <c r="G64" s="2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:39" x14ac:dyDescent="0.2">
      <c r="B65" s="22" t="str">
        <f>'Wzorzec kategorii'!B28</f>
        <v>.</v>
      </c>
      <c r="C65" s="19">
        <v>0</v>
      </c>
      <c r="D65" s="47">
        <f>SUM(Tabela33064320[#This Row])</f>
        <v>0</v>
      </c>
      <c r="E65" s="20">
        <f>Tabela718291[[#This Row],[Kolumna3]]-Tabela718291[[#This Row],[Kolumna2]]</f>
        <v>0</v>
      </c>
      <c r="F65" s="53" t="str">
        <f t="shared" si="1"/>
        <v/>
      </c>
      <c r="G65" s="2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39" x14ac:dyDescent="0.2">
      <c r="B66" s="22" t="str">
        <f>'Wzorzec kategorii'!B29</f>
        <v>.</v>
      </c>
      <c r="C66" s="19">
        <v>0</v>
      </c>
      <c r="D66" s="47">
        <f>SUM(Tabela33064320[#This Row])</f>
        <v>0</v>
      </c>
      <c r="E66" s="20">
        <f>Tabela718291[[#This Row],[Kolumna3]]-Tabela718291[[#This Row],[Kolumna2]]</f>
        <v>0</v>
      </c>
      <c r="F66" s="53" t="str">
        <f t="shared" si="1"/>
        <v/>
      </c>
      <c r="G66" s="2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:39" x14ac:dyDescent="0.2">
      <c r="B67" s="5" t="s">
        <v>30</v>
      </c>
    </row>
    <row r="68" spans="2:39" ht="21" x14ac:dyDescent="0.25">
      <c r="B68" s="44" t="s">
        <v>25</v>
      </c>
      <c r="I68" s="7" t="s">
        <v>43</v>
      </c>
    </row>
    <row r="70" spans="2:39" ht="30" x14ac:dyDescent="0.2">
      <c r="B70" s="8" t="s">
        <v>0</v>
      </c>
      <c r="C70" s="9" t="s">
        <v>131</v>
      </c>
      <c r="D70" s="10" t="s">
        <v>135</v>
      </c>
      <c r="E70" s="8" t="s">
        <v>129</v>
      </c>
      <c r="F70" s="9" t="s">
        <v>140</v>
      </c>
      <c r="G70" s="8" t="s">
        <v>41</v>
      </c>
      <c r="I70" s="41" t="s">
        <v>142</v>
      </c>
    </row>
    <row r="71" spans="2:39" ht="24" customHeight="1" x14ac:dyDescent="0.2">
      <c r="B71" s="39" t="s">
        <v>139</v>
      </c>
      <c r="C71" s="40">
        <f>C73+C85+C97+C109+C121+C133+C145+C157+C169+C181+C193+C205+C217+C229+C241</f>
        <v>0</v>
      </c>
      <c r="D71" s="40">
        <f>D73+D85+D97+D109+D121+D133+D145+D157+D169+D181+D193+D205+D217+D229+D241</f>
        <v>0</v>
      </c>
      <c r="E71" s="40">
        <f>C71-D71</f>
        <v>0</v>
      </c>
      <c r="F71" s="8" t="s">
        <v>141</v>
      </c>
      <c r="G71" s="8"/>
      <c r="I71" s="43">
        <f>SUM(I73:I251)</f>
        <v>0</v>
      </c>
      <c r="J71" s="43">
        <f>SUM(J73:J251)</f>
        <v>0</v>
      </c>
      <c r="K71" s="43">
        <f t="shared" ref="K71:AM71" si="2">SUM(K73:K251)</f>
        <v>0</v>
      </c>
      <c r="L71" s="43">
        <f t="shared" si="2"/>
        <v>0</v>
      </c>
      <c r="M71" s="43">
        <f t="shared" si="2"/>
        <v>0</v>
      </c>
      <c r="N71" s="43">
        <f t="shared" si="2"/>
        <v>0</v>
      </c>
      <c r="O71" s="43">
        <f t="shared" si="2"/>
        <v>0</v>
      </c>
      <c r="P71" s="43">
        <f t="shared" si="2"/>
        <v>0</v>
      </c>
      <c r="Q71" s="43">
        <f t="shared" si="2"/>
        <v>0</v>
      </c>
      <c r="R71" s="43">
        <f t="shared" si="2"/>
        <v>0</v>
      </c>
      <c r="S71" s="43">
        <f t="shared" si="2"/>
        <v>0</v>
      </c>
      <c r="T71" s="43">
        <f t="shared" si="2"/>
        <v>0</v>
      </c>
      <c r="U71" s="43">
        <f t="shared" si="2"/>
        <v>0</v>
      </c>
      <c r="V71" s="43">
        <f t="shared" si="2"/>
        <v>0</v>
      </c>
      <c r="W71" s="43">
        <f t="shared" si="2"/>
        <v>0</v>
      </c>
      <c r="X71" s="43">
        <f t="shared" si="2"/>
        <v>0</v>
      </c>
      <c r="Y71" s="43">
        <f t="shared" si="2"/>
        <v>0</v>
      </c>
      <c r="Z71" s="43">
        <f t="shared" si="2"/>
        <v>0</v>
      </c>
      <c r="AA71" s="43">
        <f t="shared" si="2"/>
        <v>0</v>
      </c>
      <c r="AB71" s="43">
        <f t="shared" si="2"/>
        <v>0</v>
      </c>
      <c r="AC71" s="43">
        <f t="shared" si="2"/>
        <v>0</v>
      </c>
      <c r="AD71" s="43">
        <f t="shared" si="2"/>
        <v>0</v>
      </c>
      <c r="AE71" s="43">
        <f t="shared" si="2"/>
        <v>0</v>
      </c>
      <c r="AF71" s="43">
        <f t="shared" si="2"/>
        <v>0</v>
      </c>
      <c r="AG71" s="43">
        <f t="shared" si="2"/>
        <v>0</v>
      </c>
      <c r="AH71" s="43">
        <f t="shared" si="2"/>
        <v>0</v>
      </c>
      <c r="AI71" s="43">
        <f t="shared" si="2"/>
        <v>0</v>
      </c>
      <c r="AJ71" s="43">
        <f t="shared" si="2"/>
        <v>0</v>
      </c>
      <c r="AK71" s="43">
        <f t="shared" si="2"/>
        <v>0</v>
      </c>
      <c r="AL71" s="43">
        <f t="shared" si="2"/>
        <v>0</v>
      </c>
      <c r="AM71" s="43">
        <f t="shared" si="2"/>
        <v>0</v>
      </c>
    </row>
    <row r="73" spans="2:39" x14ac:dyDescent="0.2">
      <c r="B73" s="14" t="str">
        <f>'Wzorzec kategorii'!B35</f>
        <v>Jedzenie</v>
      </c>
      <c r="C73" s="15">
        <f>SUM(Jedzenie2289[[#All],[0]])</f>
        <v>0</v>
      </c>
      <c r="D73" s="16">
        <f>SUM(Jedzenie2289[[#All],[02]])</f>
        <v>0</v>
      </c>
      <c r="E73" s="15">
        <f t="shared" ref="E73:E83" si="3">C73-D73</f>
        <v>0</v>
      </c>
      <c r="F73" s="17" t="str">
        <f t="shared" ref="F73:F83" si="4">IFERROR(D73/C73,"")</f>
        <v/>
      </c>
      <c r="G73" s="23"/>
      <c r="I73" s="11" t="s">
        <v>44</v>
      </c>
      <c r="J73" s="11" t="s">
        <v>45</v>
      </c>
      <c r="K73" s="11" t="s">
        <v>46</v>
      </c>
      <c r="L73" s="11" t="s">
        <v>47</v>
      </c>
      <c r="M73" s="11" t="s">
        <v>48</v>
      </c>
      <c r="N73" s="11" t="s">
        <v>49</v>
      </c>
      <c r="O73" s="11" t="s">
        <v>50</v>
      </c>
      <c r="P73" s="11" t="s">
        <v>51</v>
      </c>
      <c r="Q73" s="11" t="s">
        <v>52</v>
      </c>
      <c r="R73" s="11" t="s">
        <v>53</v>
      </c>
      <c r="S73" s="11" t="s">
        <v>54</v>
      </c>
      <c r="T73" s="11" t="s">
        <v>55</v>
      </c>
      <c r="U73" s="11" t="s">
        <v>56</v>
      </c>
      <c r="V73" s="11" t="s">
        <v>57</v>
      </c>
      <c r="W73" s="11" t="s">
        <v>58</v>
      </c>
      <c r="X73" s="11" t="s">
        <v>59</v>
      </c>
      <c r="Y73" s="11" t="s">
        <v>60</v>
      </c>
      <c r="Z73" s="11" t="s">
        <v>61</v>
      </c>
      <c r="AA73" s="11" t="s">
        <v>62</v>
      </c>
      <c r="AB73" s="11" t="s">
        <v>63</v>
      </c>
      <c r="AC73" s="11" t="s">
        <v>64</v>
      </c>
      <c r="AD73" s="11" t="s">
        <v>65</v>
      </c>
      <c r="AE73" s="11" t="s">
        <v>66</v>
      </c>
      <c r="AF73" s="11" t="s">
        <v>67</v>
      </c>
      <c r="AG73" s="11" t="s">
        <v>68</v>
      </c>
      <c r="AH73" s="11" t="s">
        <v>69</v>
      </c>
      <c r="AI73" s="11" t="s">
        <v>70</v>
      </c>
      <c r="AJ73" s="11" t="s">
        <v>71</v>
      </c>
      <c r="AK73" s="11" t="s">
        <v>72</v>
      </c>
      <c r="AL73" s="11" t="s">
        <v>73</v>
      </c>
      <c r="AM73" s="11" t="s">
        <v>74</v>
      </c>
    </row>
    <row r="74" spans="2:39" x14ac:dyDescent="0.2">
      <c r="B74" s="22" t="str">
        <f>'Wzorzec kategorii'!B36</f>
        <v>Jedzenie dom</v>
      </c>
      <c r="C74" s="19">
        <v>0</v>
      </c>
      <c r="D74" s="20">
        <f>SUM(Tabela330292[#This Row])</f>
        <v>0</v>
      </c>
      <c r="E74" s="20">
        <f t="shared" si="3"/>
        <v>0</v>
      </c>
      <c r="F74" s="21" t="str">
        <f t="shared" si="4"/>
        <v/>
      </c>
      <c r="G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2:39" x14ac:dyDescent="0.2">
      <c r="B75" s="22" t="str">
        <f>'Wzorzec kategorii'!B37</f>
        <v>Jedzenie miasto</v>
      </c>
      <c r="C75" s="19">
        <v>0</v>
      </c>
      <c r="D75" s="20">
        <f>SUM(Tabela330292[#This Row])</f>
        <v>0</v>
      </c>
      <c r="E75" s="20">
        <f t="shared" si="3"/>
        <v>0</v>
      </c>
      <c r="F75" s="21" t="str">
        <f t="shared" si="4"/>
        <v/>
      </c>
      <c r="G75" s="2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:39" x14ac:dyDescent="0.2">
      <c r="B76" s="22" t="str">
        <f>'Wzorzec kategorii'!B38</f>
        <v>Jedzenie praca</v>
      </c>
      <c r="C76" s="19">
        <v>0</v>
      </c>
      <c r="D76" s="20">
        <f>SUM(Tabela330292[#This Row])</f>
        <v>0</v>
      </c>
      <c r="E76" s="20">
        <f t="shared" si="3"/>
        <v>0</v>
      </c>
      <c r="F76" s="21" t="str">
        <f t="shared" si="4"/>
        <v/>
      </c>
      <c r="G76" s="2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2:39" x14ac:dyDescent="0.2">
      <c r="B77" s="22" t="str">
        <f>'Wzorzec kategorii'!B39</f>
        <v>Alkohol</v>
      </c>
      <c r="C77" s="19">
        <v>0</v>
      </c>
      <c r="D77" s="20">
        <f>SUM(Tabela330292[#This Row])</f>
        <v>0</v>
      </c>
      <c r="E77" s="20">
        <f t="shared" si="3"/>
        <v>0</v>
      </c>
      <c r="F77" s="21" t="str">
        <f t="shared" si="4"/>
        <v/>
      </c>
      <c r="G77" s="2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2:39" x14ac:dyDescent="0.2">
      <c r="B78" s="22" t="str">
        <f>'Wzorzec kategorii'!B40</f>
        <v>Inne</v>
      </c>
      <c r="C78" s="19">
        <v>0</v>
      </c>
      <c r="D78" s="20">
        <f>SUM(Tabela330292[#This Row])</f>
        <v>0</v>
      </c>
      <c r="E78" s="20">
        <f t="shared" si="3"/>
        <v>0</v>
      </c>
      <c r="F78" s="21" t="str">
        <f t="shared" si="4"/>
        <v/>
      </c>
      <c r="G78" s="2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:39" x14ac:dyDescent="0.2">
      <c r="B79" s="22" t="str">
        <f>'Wzorzec kategorii'!B41</f>
        <v>.</v>
      </c>
      <c r="C79" s="19">
        <v>0</v>
      </c>
      <c r="D79" s="20">
        <f>SUM(Tabela330292[#This Row])</f>
        <v>0</v>
      </c>
      <c r="E79" s="20">
        <f t="shared" si="3"/>
        <v>0</v>
      </c>
      <c r="F79" s="53" t="str">
        <f t="shared" si="4"/>
        <v/>
      </c>
      <c r="G79" s="5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:39" x14ac:dyDescent="0.2">
      <c r="B80" s="22" t="str">
        <f>'Wzorzec kategorii'!B42</f>
        <v>.</v>
      </c>
      <c r="C80" s="19">
        <v>0</v>
      </c>
      <c r="D80" s="20">
        <f>SUM(Tabela330292[#This Row])</f>
        <v>0</v>
      </c>
      <c r="E80" s="20">
        <f t="shared" si="3"/>
        <v>0</v>
      </c>
      <c r="F80" s="53" t="str">
        <f t="shared" si="4"/>
        <v/>
      </c>
      <c r="G80" s="5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2:41" x14ac:dyDescent="0.2">
      <c r="B81" s="22" t="str">
        <f>'Wzorzec kategorii'!B43</f>
        <v>.</v>
      </c>
      <c r="C81" s="19">
        <v>0</v>
      </c>
      <c r="D81" s="20">
        <f>SUM(Tabela330292[#This Row])</f>
        <v>0</v>
      </c>
      <c r="E81" s="20">
        <f t="shared" si="3"/>
        <v>0</v>
      </c>
      <c r="F81" s="53" t="str">
        <f t="shared" si="4"/>
        <v/>
      </c>
      <c r="G81" s="5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2:41" x14ac:dyDescent="0.2">
      <c r="B82" s="22" t="str">
        <f>'Wzorzec kategorii'!B44</f>
        <v>.</v>
      </c>
      <c r="C82" s="19">
        <v>0</v>
      </c>
      <c r="D82" s="20">
        <f>SUM(Tabela330292[#This Row])</f>
        <v>0</v>
      </c>
      <c r="E82" s="20">
        <f t="shared" si="3"/>
        <v>0</v>
      </c>
      <c r="F82" s="53" t="str">
        <f t="shared" si="4"/>
        <v/>
      </c>
      <c r="G82" s="5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2:41" x14ac:dyDescent="0.2">
      <c r="B83" s="22" t="str">
        <f>'Wzorzec kategorii'!B45</f>
        <v>.</v>
      </c>
      <c r="C83" s="19">
        <v>0</v>
      </c>
      <c r="D83" s="20">
        <f>SUM(Tabela330292[#This Row])</f>
        <v>0</v>
      </c>
      <c r="E83" s="20">
        <f t="shared" si="3"/>
        <v>0</v>
      </c>
      <c r="F83" s="53" t="str">
        <f t="shared" si="4"/>
        <v/>
      </c>
      <c r="G83" s="5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2:41" x14ac:dyDescent="0.2">
      <c r="B84" s="5" t="s">
        <v>30</v>
      </c>
      <c r="C84" s="6"/>
      <c r="D84" s="4"/>
      <c r="E84" s="4"/>
      <c r="F84" s="4"/>
      <c r="G84" s="4"/>
      <c r="I84" s="5" t="s">
        <v>30</v>
      </c>
    </row>
    <row r="85" spans="2:41" x14ac:dyDescent="0.2">
      <c r="B85" s="14" t="str">
        <f>'Wzorzec kategorii'!B47</f>
        <v>Mieszkanie / dom</v>
      </c>
      <c r="C85" s="15">
        <f>SUM(Tabela431293[[#All],[Kolumna2]])</f>
        <v>0</v>
      </c>
      <c r="D85" s="16">
        <f>SUM(Tabela431293[[#All],[Kolumna3]])</f>
        <v>0</v>
      </c>
      <c r="E85" s="15">
        <f>C85-D85</f>
        <v>0</v>
      </c>
      <c r="F85" s="17" t="str">
        <f>IFERROR(D85/C85,"")</f>
        <v/>
      </c>
      <c r="G85" s="23"/>
      <c r="I85" s="11" t="s">
        <v>44</v>
      </c>
      <c r="J85" s="11" t="s">
        <v>45</v>
      </c>
      <c r="K85" s="11" t="s">
        <v>46</v>
      </c>
      <c r="L85" s="11" t="s">
        <v>47</v>
      </c>
      <c r="M85" s="11" t="s">
        <v>48</v>
      </c>
      <c r="N85" s="11" t="s">
        <v>49</v>
      </c>
      <c r="O85" s="11" t="s">
        <v>50</v>
      </c>
      <c r="P85" s="11" t="s">
        <v>51</v>
      </c>
      <c r="Q85" s="11" t="s">
        <v>52</v>
      </c>
      <c r="R85" s="11" t="s">
        <v>53</v>
      </c>
      <c r="S85" s="11" t="s">
        <v>54</v>
      </c>
      <c r="T85" s="11" t="s">
        <v>55</v>
      </c>
      <c r="U85" s="11" t="s">
        <v>56</v>
      </c>
      <c r="V85" s="11" t="s">
        <v>57</v>
      </c>
      <c r="W85" s="11" t="s">
        <v>58</v>
      </c>
      <c r="X85" s="11" t="s">
        <v>59</v>
      </c>
      <c r="Y85" s="11" t="s">
        <v>60</v>
      </c>
      <c r="Z85" s="11" t="s">
        <v>61</v>
      </c>
      <c r="AA85" s="11" t="s">
        <v>62</v>
      </c>
      <c r="AB85" s="11" t="s">
        <v>63</v>
      </c>
      <c r="AC85" s="11" t="s">
        <v>64</v>
      </c>
      <c r="AD85" s="11" t="s">
        <v>65</v>
      </c>
      <c r="AE85" s="11" t="s">
        <v>66</v>
      </c>
      <c r="AF85" s="11" t="s">
        <v>67</v>
      </c>
      <c r="AG85" s="11" t="s">
        <v>68</v>
      </c>
      <c r="AH85" s="11" t="s">
        <v>69</v>
      </c>
      <c r="AI85" s="11" t="s">
        <v>70</v>
      </c>
      <c r="AJ85" s="11" t="s">
        <v>71</v>
      </c>
      <c r="AK85" s="11" t="s">
        <v>72</v>
      </c>
      <c r="AL85" s="11" t="s">
        <v>73</v>
      </c>
      <c r="AM85" s="11" t="s">
        <v>74</v>
      </c>
      <c r="AN85" s="25"/>
      <c r="AO85" s="25"/>
    </row>
    <row r="86" spans="2:41" x14ac:dyDescent="0.2">
      <c r="B86" s="22" t="str">
        <f>'Wzorzec kategorii'!B48</f>
        <v>Czynsz</v>
      </c>
      <c r="C86" s="19">
        <v>0</v>
      </c>
      <c r="D86" s="20">
        <f>SUM(Tabela1841303[#This Row])</f>
        <v>0</v>
      </c>
      <c r="E86" s="20">
        <f t="shared" ref="E86:E95" si="5">C86-D86</f>
        <v>0</v>
      </c>
      <c r="F86" s="21" t="str">
        <f t="shared" ref="F86:F95" si="6">IFERROR(D86/C86,"")</f>
        <v/>
      </c>
      <c r="G86" s="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25"/>
      <c r="AO86" s="25"/>
    </row>
    <row r="87" spans="2:41" x14ac:dyDescent="0.2">
      <c r="B87" s="22" t="str">
        <f>'Wzorzec kategorii'!B49</f>
        <v>Woda i kanalizacja</v>
      </c>
      <c r="C87" s="19">
        <v>0</v>
      </c>
      <c r="D87" s="20">
        <f>SUM(Tabela1841303[#This Row])</f>
        <v>0</v>
      </c>
      <c r="E87" s="20">
        <f t="shared" si="5"/>
        <v>0</v>
      </c>
      <c r="F87" s="21" t="str">
        <f t="shared" si="6"/>
        <v/>
      </c>
      <c r="G87" s="2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25"/>
      <c r="AO87" s="25"/>
    </row>
    <row r="88" spans="2:41" x14ac:dyDescent="0.2">
      <c r="B88" s="22" t="str">
        <f>'Wzorzec kategorii'!B50</f>
        <v>Prąd</v>
      </c>
      <c r="C88" s="19">
        <v>0</v>
      </c>
      <c r="D88" s="20">
        <f>SUM(Tabela1841303[#This Row])</f>
        <v>0</v>
      </c>
      <c r="E88" s="20">
        <f t="shared" si="5"/>
        <v>0</v>
      </c>
      <c r="F88" s="21" t="str">
        <f t="shared" si="6"/>
        <v/>
      </c>
      <c r="G88" s="2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25"/>
      <c r="AO88" s="25"/>
    </row>
    <row r="89" spans="2:41" x14ac:dyDescent="0.2">
      <c r="B89" s="22" t="str">
        <f>'Wzorzec kategorii'!B51</f>
        <v>Gaz</v>
      </c>
      <c r="C89" s="19">
        <v>0</v>
      </c>
      <c r="D89" s="20">
        <f>SUM(Tabela1841303[#This Row])</f>
        <v>0</v>
      </c>
      <c r="E89" s="20">
        <f t="shared" si="5"/>
        <v>0</v>
      </c>
      <c r="F89" s="21" t="str">
        <f t="shared" si="6"/>
        <v/>
      </c>
      <c r="G89" s="2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25"/>
      <c r="AO89" s="25"/>
    </row>
    <row r="90" spans="2:41" x14ac:dyDescent="0.2">
      <c r="B90" s="22" t="str">
        <f>'Wzorzec kategorii'!B52</f>
        <v>Ogrzewanie</v>
      </c>
      <c r="C90" s="19">
        <v>0</v>
      </c>
      <c r="D90" s="20">
        <f>SUM(Tabela1841303[#This Row])</f>
        <v>0</v>
      </c>
      <c r="E90" s="20">
        <f t="shared" si="5"/>
        <v>0</v>
      </c>
      <c r="F90" s="21" t="str">
        <f t="shared" si="6"/>
        <v/>
      </c>
      <c r="G90" s="24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25"/>
      <c r="AO90" s="25"/>
    </row>
    <row r="91" spans="2:41" x14ac:dyDescent="0.2">
      <c r="B91" s="22" t="str">
        <f>'Wzorzec kategorii'!B53</f>
        <v>Wywóz śmieci</v>
      </c>
      <c r="C91" s="19">
        <v>0</v>
      </c>
      <c r="D91" s="20">
        <f>SUM(Tabela1841303[#This Row])</f>
        <v>0</v>
      </c>
      <c r="E91" s="20">
        <f t="shared" si="5"/>
        <v>0</v>
      </c>
      <c r="F91" s="21" t="str">
        <f t="shared" si="6"/>
        <v/>
      </c>
      <c r="G91" s="24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25"/>
      <c r="AO91" s="25"/>
    </row>
    <row r="92" spans="2:41" x14ac:dyDescent="0.2">
      <c r="B92" s="22" t="str">
        <f>'Wzorzec kategorii'!B54</f>
        <v>Konserwacja i naprawy</v>
      </c>
      <c r="C92" s="19">
        <v>0</v>
      </c>
      <c r="D92" s="20">
        <f>SUM(Tabela1841303[#This Row])</f>
        <v>0</v>
      </c>
      <c r="E92" s="20">
        <f t="shared" si="5"/>
        <v>0</v>
      </c>
      <c r="F92" s="21" t="str">
        <f t="shared" si="6"/>
        <v/>
      </c>
      <c r="G92" s="2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25"/>
      <c r="AO92" s="25"/>
    </row>
    <row r="93" spans="2:41" x14ac:dyDescent="0.2">
      <c r="B93" s="22" t="str">
        <f>'Wzorzec kategorii'!B55</f>
        <v>Wyposażenie</v>
      </c>
      <c r="C93" s="19">
        <v>0</v>
      </c>
      <c r="D93" s="20">
        <f>SUM(Tabela1841303[#This Row])</f>
        <v>0</v>
      </c>
      <c r="E93" s="20">
        <f t="shared" si="5"/>
        <v>0</v>
      </c>
      <c r="F93" s="21" t="str">
        <f t="shared" si="6"/>
        <v/>
      </c>
      <c r="G93" s="2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25"/>
      <c r="AO93" s="25"/>
    </row>
    <row r="94" spans="2:41" x14ac:dyDescent="0.2">
      <c r="B94" s="22" t="str">
        <f>'Wzorzec kategorii'!B56</f>
        <v>Ubezpieczenie nieruchomości</v>
      </c>
      <c r="C94" s="19">
        <v>0</v>
      </c>
      <c r="D94" s="20">
        <f>SUM(Tabela1841303[#This Row])</f>
        <v>0</v>
      </c>
      <c r="E94" s="20">
        <f t="shared" si="5"/>
        <v>0</v>
      </c>
      <c r="F94" s="21" t="str">
        <f t="shared" si="6"/>
        <v/>
      </c>
      <c r="G94" s="2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25"/>
      <c r="AO94" s="25"/>
    </row>
    <row r="95" spans="2:41" x14ac:dyDescent="0.2">
      <c r="B95" s="22" t="str">
        <f>'Wzorzec kategorii'!B57</f>
        <v>Inne</v>
      </c>
      <c r="C95" s="19">
        <v>0</v>
      </c>
      <c r="D95" s="20">
        <f>SUM(Tabela1841303[#This Row])</f>
        <v>0</v>
      </c>
      <c r="E95" s="20">
        <f t="shared" si="5"/>
        <v>0</v>
      </c>
      <c r="F95" s="21" t="str">
        <f t="shared" si="6"/>
        <v/>
      </c>
      <c r="G95" s="2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25"/>
      <c r="AO95" s="25"/>
    </row>
    <row r="96" spans="2:41" x14ac:dyDescent="0.2">
      <c r="B96" s="5" t="s">
        <v>30</v>
      </c>
      <c r="C96" s="6"/>
      <c r="D96" s="4"/>
      <c r="E96" s="4"/>
      <c r="F96" s="4"/>
      <c r="G96" s="4"/>
      <c r="I96" s="26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</row>
    <row r="97" spans="2:41" x14ac:dyDescent="0.2">
      <c r="B97" s="2" t="str">
        <f>'Wzorzec kategorii'!B59</f>
        <v>Transport</v>
      </c>
      <c r="C97" s="3">
        <f>SUM(Transport3290[[#All],[Kolumna2]])</f>
        <v>0</v>
      </c>
      <c r="D97" s="16">
        <f>SUM(Transport3290[[#All],[Kolumna3]])</f>
        <v>0</v>
      </c>
      <c r="E97" s="3">
        <f>C97-D97</f>
        <v>0</v>
      </c>
      <c r="F97" s="17" t="str">
        <f>IFERROR(D97/C97,"")</f>
        <v/>
      </c>
      <c r="G97" s="3"/>
      <c r="I97" s="11" t="s">
        <v>44</v>
      </c>
      <c r="J97" s="11" t="s">
        <v>45</v>
      </c>
      <c r="K97" s="11" t="s">
        <v>46</v>
      </c>
      <c r="L97" s="11" t="s">
        <v>47</v>
      </c>
      <c r="M97" s="11" t="s">
        <v>48</v>
      </c>
      <c r="N97" s="11" t="s">
        <v>49</v>
      </c>
      <c r="O97" s="11" t="s">
        <v>50</v>
      </c>
      <c r="P97" s="11" t="s">
        <v>51</v>
      </c>
      <c r="Q97" s="11" t="s">
        <v>52</v>
      </c>
      <c r="R97" s="11" t="s">
        <v>53</v>
      </c>
      <c r="S97" s="11" t="s">
        <v>54</v>
      </c>
      <c r="T97" s="11" t="s">
        <v>55</v>
      </c>
      <c r="U97" s="11" t="s">
        <v>56</v>
      </c>
      <c r="V97" s="11" t="s">
        <v>57</v>
      </c>
      <c r="W97" s="11" t="s">
        <v>58</v>
      </c>
      <c r="X97" s="11" t="s">
        <v>59</v>
      </c>
      <c r="Y97" s="11" t="s">
        <v>60</v>
      </c>
      <c r="Z97" s="11" t="s">
        <v>61</v>
      </c>
      <c r="AA97" s="11" t="s">
        <v>62</v>
      </c>
      <c r="AB97" s="11" t="s">
        <v>63</v>
      </c>
      <c r="AC97" s="11" t="s">
        <v>64</v>
      </c>
      <c r="AD97" s="11" t="s">
        <v>65</v>
      </c>
      <c r="AE97" s="11" t="s">
        <v>66</v>
      </c>
      <c r="AF97" s="11" t="s">
        <v>67</v>
      </c>
      <c r="AG97" s="11" t="s">
        <v>68</v>
      </c>
      <c r="AH97" s="11" t="s">
        <v>69</v>
      </c>
      <c r="AI97" s="11" t="s">
        <v>70</v>
      </c>
      <c r="AJ97" s="11" t="s">
        <v>71</v>
      </c>
      <c r="AK97" s="11" t="s">
        <v>72</v>
      </c>
      <c r="AL97" s="11" t="s">
        <v>73</v>
      </c>
      <c r="AM97" s="11" t="s">
        <v>74</v>
      </c>
      <c r="AN97" s="25"/>
      <c r="AO97" s="25"/>
    </row>
    <row r="98" spans="2:41" x14ac:dyDescent="0.2">
      <c r="B98" s="22" t="str">
        <f>'Wzorzec kategorii'!B60</f>
        <v>Paliwo do auta</v>
      </c>
      <c r="C98" s="19">
        <v>0</v>
      </c>
      <c r="D98" s="20">
        <f>SUM(Tabela1942304[#This Row])</f>
        <v>0</v>
      </c>
      <c r="E98" s="20">
        <f t="shared" ref="E98:E107" si="7">C98-D98</f>
        <v>0</v>
      </c>
      <c r="F98" s="21" t="str">
        <f t="shared" ref="F98:F107" si="8">IFERROR(D98/C98,"")</f>
        <v/>
      </c>
      <c r="G98" s="24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25"/>
      <c r="AO98" s="25"/>
    </row>
    <row r="99" spans="2:41" x14ac:dyDescent="0.2">
      <c r="B99" s="22" t="str">
        <f>'Wzorzec kategorii'!B61</f>
        <v>Przeglądy i naprawy auta</v>
      </c>
      <c r="C99" s="19">
        <v>0</v>
      </c>
      <c r="D99" s="20">
        <f>SUM(Tabela1942304[#This Row])</f>
        <v>0</v>
      </c>
      <c r="E99" s="20">
        <f t="shared" si="7"/>
        <v>0</v>
      </c>
      <c r="F99" s="21" t="str">
        <f t="shared" si="8"/>
        <v/>
      </c>
      <c r="G99" s="2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25"/>
      <c r="AO99" s="25"/>
    </row>
    <row r="100" spans="2:41" ht="30" x14ac:dyDescent="0.2">
      <c r="B100" s="22" t="str">
        <f>'Wzorzec kategorii'!B62</f>
        <v>Wyposażenie dodatkowe (opony)</v>
      </c>
      <c r="C100" s="19">
        <v>0</v>
      </c>
      <c r="D100" s="20">
        <f>SUM(Tabela1942304[#This Row])</f>
        <v>0</v>
      </c>
      <c r="E100" s="20">
        <f t="shared" si="7"/>
        <v>0</v>
      </c>
      <c r="F100" s="21" t="str">
        <f t="shared" si="8"/>
        <v/>
      </c>
      <c r="G100" s="2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25"/>
      <c r="AO100" s="25"/>
    </row>
    <row r="101" spans="2:41" x14ac:dyDescent="0.2">
      <c r="B101" s="22" t="str">
        <f>'Wzorzec kategorii'!B63</f>
        <v>Ubezpieczenie auta</v>
      </c>
      <c r="C101" s="19">
        <v>0</v>
      </c>
      <c r="D101" s="20">
        <f>SUM(Tabela1942304[#This Row])</f>
        <v>0</v>
      </c>
      <c r="E101" s="20">
        <f t="shared" si="7"/>
        <v>0</v>
      </c>
      <c r="F101" s="21" t="str">
        <f t="shared" si="8"/>
        <v/>
      </c>
      <c r="G101" s="2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25"/>
      <c r="AO101" s="25"/>
    </row>
    <row r="102" spans="2:41" x14ac:dyDescent="0.2">
      <c r="B102" s="22" t="str">
        <f>'Wzorzec kategorii'!B64</f>
        <v>Bilet komunikacji miejskiej</v>
      </c>
      <c r="C102" s="19">
        <v>0</v>
      </c>
      <c r="D102" s="20">
        <f>SUM(Tabela1942304[#This Row])</f>
        <v>0</v>
      </c>
      <c r="E102" s="20">
        <f t="shared" si="7"/>
        <v>0</v>
      </c>
      <c r="F102" s="21" t="str">
        <f t="shared" si="8"/>
        <v/>
      </c>
      <c r="G102" s="2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25"/>
      <c r="AO102" s="25"/>
    </row>
    <row r="103" spans="2:41" x14ac:dyDescent="0.2">
      <c r="B103" s="22" t="str">
        <f>'Wzorzec kategorii'!B65</f>
        <v>Bilet PKP, PKS</v>
      </c>
      <c r="C103" s="19">
        <v>0</v>
      </c>
      <c r="D103" s="20">
        <f>SUM(Tabela1942304[#This Row])</f>
        <v>0</v>
      </c>
      <c r="E103" s="20">
        <f t="shared" si="7"/>
        <v>0</v>
      </c>
      <c r="F103" s="21" t="str">
        <f t="shared" si="8"/>
        <v/>
      </c>
      <c r="G103" s="24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25"/>
      <c r="AO103" s="25"/>
    </row>
    <row r="104" spans="2:41" x14ac:dyDescent="0.2">
      <c r="B104" s="22" t="str">
        <f>'Wzorzec kategorii'!B66</f>
        <v>Taxi</v>
      </c>
      <c r="C104" s="19">
        <v>0</v>
      </c>
      <c r="D104" s="20">
        <f>SUM(Tabela1942304[#This Row])</f>
        <v>0</v>
      </c>
      <c r="E104" s="20">
        <f t="shared" si="7"/>
        <v>0</v>
      </c>
      <c r="F104" s="21" t="str">
        <f t="shared" si="8"/>
        <v/>
      </c>
      <c r="G104" s="24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25"/>
      <c r="AO104" s="25"/>
    </row>
    <row r="105" spans="2:41" x14ac:dyDescent="0.2">
      <c r="B105" s="22" t="str">
        <f>'Wzorzec kategorii'!B67</f>
        <v>Inne</v>
      </c>
      <c r="C105" s="19">
        <v>0</v>
      </c>
      <c r="D105" s="20">
        <f>SUM(Tabela1942304[#This Row])</f>
        <v>0</v>
      </c>
      <c r="E105" s="20">
        <f t="shared" si="7"/>
        <v>0</v>
      </c>
      <c r="F105" s="21" t="str">
        <f t="shared" si="8"/>
        <v/>
      </c>
      <c r="G105" s="2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25"/>
      <c r="AO105" s="25"/>
    </row>
    <row r="106" spans="2:41" x14ac:dyDescent="0.2">
      <c r="B106" s="22" t="str">
        <f>'Wzorzec kategorii'!B68</f>
        <v>.</v>
      </c>
      <c r="C106" s="19">
        <v>0</v>
      </c>
      <c r="D106" s="20">
        <f>SUM(Tabela1942304[#This Row])</f>
        <v>0</v>
      </c>
      <c r="E106" s="20">
        <f t="shared" si="7"/>
        <v>0</v>
      </c>
      <c r="F106" s="53" t="str">
        <f t="shared" si="8"/>
        <v/>
      </c>
      <c r="G106" s="54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25"/>
      <c r="AO106" s="25"/>
    </row>
    <row r="107" spans="2:41" x14ac:dyDescent="0.2">
      <c r="B107" s="22" t="str">
        <f>'Wzorzec kategorii'!B69</f>
        <v>.</v>
      </c>
      <c r="C107" s="19">
        <v>0</v>
      </c>
      <c r="D107" s="20">
        <f>SUM(Tabela1942304[#This Row])</f>
        <v>0</v>
      </c>
      <c r="E107" s="20">
        <f t="shared" si="7"/>
        <v>0</v>
      </c>
      <c r="F107" s="53" t="str">
        <f t="shared" si="8"/>
        <v/>
      </c>
      <c r="G107" s="54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25"/>
      <c r="AO107" s="25"/>
    </row>
    <row r="108" spans="2:41" x14ac:dyDescent="0.2">
      <c r="B108" s="5" t="s">
        <v>30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</row>
    <row r="109" spans="2:41" x14ac:dyDescent="0.2">
      <c r="B109" s="2" t="str">
        <f>'Wzorzec kategorii'!B71</f>
        <v>Telekomunikacja</v>
      </c>
      <c r="C109" s="3">
        <f>SUM(Tabela832294[[#All],[Kolumna2]])</f>
        <v>0</v>
      </c>
      <c r="D109" s="16">
        <f>SUM(Tabela832294[[#All],[Kolumna3]])</f>
        <v>0</v>
      </c>
      <c r="E109" s="3">
        <f>C109-D109</f>
        <v>0</v>
      </c>
      <c r="F109" s="17" t="str">
        <f t="shared" ref="F109:F119" si="9">IFERROR(D109/C109,"")</f>
        <v/>
      </c>
      <c r="G109" s="3"/>
      <c r="I109" s="11" t="s">
        <v>44</v>
      </c>
      <c r="J109" s="11" t="s">
        <v>45</v>
      </c>
      <c r="K109" s="11" t="s">
        <v>46</v>
      </c>
      <c r="L109" s="11" t="s">
        <v>47</v>
      </c>
      <c r="M109" s="11" t="s">
        <v>48</v>
      </c>
      <c r="N109" s="11" t="s">
        <v>49</v>
      </c>
      <c r="O109" s="11" t="s">
        <v>50</v>
      </c>
      <c r="P109" s="11" t="s">
        <v>51</v>
      </c>
      <c r="Q109" s="11" t="s">
        <v>52</v>
      </c>
      <c r="R109" s="11" t="s">
        <v>53</v>
      </c>
      <c r="S109" s="11" t="s">
        <v>54</v>
      </c>
      <c r="T109" s="11" t="s">
        <v>55</v>
      </c>
      <c r="U109" s="11" t="s">
        <v>56</v>
      </c>
      <c r="V109" s="11" t="s">
        <v>57</v>
      </c>
      <c r="W109" s="11" t="s">
        <v>58</v>
      </c>
      <c r="X109" s="11" t="s">
        <v>59</v>
      </c>
      <c r="Y109" s="11" t="s">
        <v>60</v>
      </c>
      <c r="Z109" s="11" t="s">
        <v>61</v>
      </c>
      <c r="AA109" s="11" t="s">
        <v>62</v>
      </c>
      <c r="AB109" s="11" t="s">
        <v>63</v>
      </c>
      <c r="AC109" s="11" t="s">
        <v>64</v>
      </c>
      <c r="AD109" s="11" t="s">
        <v>65</v>
      </c>
      <c r="AE109" s="11" t="s">
        <v>66</v>
      </c>
      <c r="AF109" s="11" t="s">
        <v>67</v>
      </c>
      <c r="AG109" s="11" t="s">
        <v>68</v>
      </c>
      <c r="AH109" s="11" t="s">
        <v>69</v>
      </c>
      <c r="AI109" s="11" t="s">
        <v>70</v>
      </c>
      <c r="AJ109" s="11" t="s">
        <v>71</v>
      </c>
      <c r="AK109" s="11" t="s">
        <v>72</v>
      </c>
      <c r="AL109" s="11" t="s">
        <v>73</v>
      </c>
      <c r="AM109" s="11" t="s">
        <v>74</v>
      </c>
      <c r="AN109" s="25"/>
      <c r="AO109" s="25"/>
    </row>
    <row r="110" spans="2:41" x14ac:dyDescent="0.2">
      <c r="B110" s="22" t="str">
        <f>'Wzorzec kategorii'!B72</f>
        <v>Telefon 1</v>
      </c>
      <c r="C110" s="19">
        <v>0</v>
      </c>
      <c r="D110" s="20">
        <f>SUM(Tabela192143305[#This Row])</f>
        <v>0</v>
      </c>
      <c r="E110" s="20">
        <f t="shared" ref="E110:E119" si="10">C110-D110</f>
        <v>0</v>
      </c>
      <c r="F110" s="21" t="str">
        <f t="shared" si="9"/>
        <v/>
      </c>
      <c r="G110" s="24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25"/>
      <c r="AO110" s="25"/>
    </row>
    <row r="111" spans="2:41" x14ac:dyDescent="0.2">
      <c r="B111" s="22" t="str">
        <f>'Wzorzec kategorii'!B73</f>
        <v>Telefon 2</v>
      </c>
      <c r="C111" s="19">
        <v>0</v>
      </c>
      <c r="D111" s="20">
        <f>SUM(Tabela192143305[#This Row])</f>
        <v>0</v>
      </c>
      <c r="E111" s="20">
        <f t="shared" si="10"/>
        <v>0</v>
      </c>
      <c r="F111" s="21" t="str">
        <f t="shared" si="9"/>
        <v/>
      </c>
      <c r="G111" s="24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25"/>
      <c r="AO111" s="25"/>
    </row>
    <row r="112" spans="2:41" x14ac:dyDescent="0.2">
      <c r="B112" s="22" t="str">
        <f>'Wzorzec kategorii'!B74</f>
        <v>TV</v>
      </c>
      <c r="C112" s="19">
        <v>0</v>
      </c>
      <c r="D112" s="20">
        <f>SUM(Tabela192143305[#This Row])</f>
        <v>0</v>
      </c>
      <c r="E112" s="20">
        <f t="shared" si="10"/>
        <v>0</v>
      </c>
      <c r="F112" s="21" t="str">
        <f t="shared" si="9"/>
        <v/>
      </c>
      <c r="G112" s="2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5"/>
      <c r="AO112" s="25"/>
    </row>
    <row r="113" spans="2:41" x14ac:dyDescent="0.2">
      <c r="B113" s="22" t="str">
        <f>'Wzorzec kategorii'!B75</f>
        <v>Internet</v>
      </c>
      <c r="C113" s="19">
        <v>0</v>
      </c>
      <c r="D113" s="20">
        <f>SUM(Tabela192143305[#This Row])</f>
        <v>0</v>
      </c>
      <c r="E113" s="20">
        <f t="shared" si="10"/>
        <v>0</v>
      </c>
      <c r="F113" s="21" t="str">
        <f t="shared" si="9"/>
        <v/>
      </c>
      <c r="G113" s="2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25"/>
      <c r="AO113" s="25"/>
    </row>
    <row r="114" spans="2:41" x14ac:dyDescent="0.2">
      <c r="B114" s="22" t="str">
        <f>'Wzorzec kategorii'!B76</f>
        <v>Inne</v>
      </c>
      <c r="C114" s="19">
        <v>0</v>
      </c>
      <c r="D114" s="20">
        <f>SUM(Tabela192143305[#This Row])</f>
        <v>0</v>
      </c>
      <c r="E114" s="20">
        <f t="shared" si="10"/>
        <v>0</v>
      </c>
      <c r="F114" s="21" t="str">
        <f t="shared" si="9"/>
        <v/>
      </c>
      <c r="G114" s="2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25"/>
      <c r="AO114" s="25"/>
    </row>
    <row r="115" spans="2:41" x14ac:dyDescent="0.2">
      <c r="B115" s="22" t="str">
        <f>'Wzorzec kategorii'!B77</f>
        <v>.</v>
      </c>
      <c r="C115" s="19">
        <v>0</v>
      </c>
      <c r="D115" s="20">
        <f>SUM(Tabela192143305[#This Row])</f>
        <v>0</v>
      </c>
      <c r="E115" s="20">
        <f t="shared" si="10"/>
        <v>0</v>
      </c>
      <c r="F115" s="53" t="str">
        <f t="shared" si="9"/>
        <v/>
      </c>
      <c r="G115" s="54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25"/>
      <c r="AO115" s="25"/>
    </row>
    <row r="116" spans="2:41" x14ac:dyDescent="0.2">
      <c r="B116" s="22" t="str">
        <f>'Wzorzec kategorii'!B78</f>
        <v>.</v>
      </c>
      <c r="C116" s="19">
        <v>0</v>
      </c>
      <c r="D116" s="20">
        <f>SUM(Tabela192143305[#This Row])</f>
        <v>0</v>
      </c>
      <c r="E116" s="20">
        <f t="shared" si="10"/>
        <v>0</v>
      </c>
      <c r="F116" s="53" t="str">
        <f t="shared" si="9"/>
        <v/>
      </c>
      <c r="G116" s="54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25"/>
      <c r="AO116" s="25"/>
    </row>
    <row r="117" spans="2:41" x14ac:dyDescent="0.2">
      <c r="B117" s="22" t="str">
        <f>'Wzorzec kategorii'!B79</f>
        <v>.</v>
      </c>
      <c r="C117" s="19">
        <v>0</v>
      </c>
      <c r="D117" s="20">
        <f>SUM(Tabela192143305[#This Row])</f>
        <v>0</v>
      </c>
      <c r="E117" s="20">
        <f t="shared" si="10"/>
        <v>0</v>
      </c>
      <c r="F117" s="53" t="str">
        <f t="shared" si="9"/>
        <v/>
      </c>
      <c r="G117" s="54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25"/>
      <c r="AO117" s="25"/>
    </row>
    <row r="118" spans="2:41" x14ac:dyDescent="0.2">
      <c r="B118" s="22" t="str">
        <f>'Wzorzec kategorii'!B80</f>
        <v>.</v>
      </c>
      <c r="C118" s="19">
        <v>0</v>
      </c>
      <c r="D118" s="20">
        <f>SUM(Tabela192143305[#This Row])</f>
        <v>0</v>
      </c>
      <c r="E118" s="20">
        <f t="shared" si="10"/>
        <v>0</v>
      </c>
      <c r="F118" s="53" t="str">
        <f t="shared" si="9"/>
        <v/>
      </c>
      <c r="G118" s="54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25"/>
      <c r="AO118" s="25"/>
    </row>
    <row r="119" spans="2:41" x14ac:dyDescent="0.2">
      <c r="B119" s="22" t="str">
        <f>'Wzorzec kategorii'!B81</f>
        <v>.</v>
      </c>
      <c r="C119" s="19">
        <v>0</v>
      </c>
      <c r="D119" s="20">
        <f>SUM(Tabela192143305[#This Row])</f>
        <v>0</v>
      </c>
      <c r="E119" s="20">
        <f t="shared" si="10"/>
        <v>0</v>
      </c>
      <c r="F119" s="53" t="str">
        <f t="shared" si="9"/>
        <v/>
      </c>
      <c r="G119" s="54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25"/>
      <c r="AO119" s="25"/>
    </row>
    <row r="120" spans="2:41" x14ac:dyDescent="0.2"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</row>
    <row r="121" spans="2:41" x14ac:dyDescent="0.2">
      <c r="B121" s="2" t="str">
        <f>'Wzorzec kategorii'!B83</f>
        <v>Opieka zdrowotna</v>
      </c>
      <c r="C121" s="3">
        <f>SUM(Tabela933295[[#All],[Kolumna2]])</f>
        <v>0</v>
      </c>
      <c r="D121" s="16">
        <f>SUM(Tabela933295[[#All],[Kolumna3]])</f>
        <v>0</v>
      </c>
      <c r="E121" s="3">
        <f>C121-D121</f>
        <v>0</v>
      </c>
      <c r="F121" s="17" t="str">
        <f>IFERROR(D121/C121,"")</f>
        <v/>
      </c>
      <c r="G121" s="3"/>
      <c r="I121" s="11" t="s">
        <v>44</v>
      </c>
      <c r="J121" s="11" t="s">
        <v>45</v>
      </c>
      <c r="K121" s="11" t="s">
        <v>46</v>
      </c>
      <c r="L121" s="11" t="s">
        <v>47</v>
      </c>
      <c r="M121" s="11" t="s">
        <v>48</v>
      </c>
      <c r="N121" s="11" t="s">
        <v>49</v>
      </c>
      <c r="O121" s="11" t="s">
        <v>50</v>
      </c>
      <c r="P121" s="11" t="s">
        <v>51</v>
      </c>
      <c r="Q121" s="11" t="s">
        <v>52</v>
      </c>
      <c r="R121" s="11" t="s">
        <v>53</v>
      </c>
      <c r="S121" s="11" t="s">
        <v>54</v>
      </c>
      <c r="T121" s="11" t="s">
        <v>55</v>
      </c>
      <c r="U121" s="11" t="s">
        <v>56</v>
      </c>
      <c r="V121" s="11" t="s">
        <v>57</v>
      </c>
      <c r="W121" s="11" t="s">
        <v>58</v>
      </c>
      <c r="X121" s="11" t="s">
        <v>59</v>
      </c>
      <c r="Y121" s="11" t="s">
        <v>60</v>
      </c>
      <c r="Z121" s="11" t="s">
        <v>61</v>
      </c>
      <c r="AA121" s="11" t="s">
        <v>62</v>
      </c>
      <c r="AB121" s="11" t="s">
        <v>63</v>
      </c>
      <c r="AC121" s="11" t="s">
        <v>64</v>
      </c>
      <c r="AD121" s="11" t="s">
        <v>65</v>
      </c>
      <c r="AE121" s="11" t="s">
        <v>66</v>
      </c>
      <c r="AF121" s="11" t="s">
        <v>67</v>
      </c>
      <c r="AG121" s="11" t="s">
        <v>68</v>
      </c>
      <c r="AH121" s="11" t="s">
        <v>69</v>
      </c>
      <c r="AI121" s="11" t="s">
        <v>70</v>
      </c>
      <c r="AJ121" s="11" t="s">
        <v>71</v>
      </c>
      <c r="AK121" s="11" t="s">
        <v>72</v>
      </c>
      <c r="AL121" s="11" t="s">
        <v>73</v>
      </c>
      <c r="AM121" s="11" t="s">
        <v>74</v>
      </c>
      <c r="AN121" s="25"/>
      <c r="AO121" s="25"/>
    </row>
    <row r="122" spans="2:41" x14ac:dyDescent="0.2">
      <c r="B122" s="22" t="str">
        <f>'Wzorzec kategorii'!B84</f>
        <v>Lekarz</v>
      </c>
      <c r="C122" s="19">
        <v>0</v>
      </c>
      <c r="D122" s="20">
        <f>SUM(Tabela19212547309[#This Row])</f>
        <v>0</v>
      </c>
      <c r="E122" s="20">
        <f t="shared" ref="E122:E131" si="11">C122-D122</f>
        <v>0</v>
      </c>
      <c r="F122" s="21" t="str">
        <f>IFERROR(D122/C122,"")</f>
        <v/>
      </c>
      <c r="G122" s="2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25"/>
      <c r="AO122" s="25"/>
    </row>
    <row r="123" spans="2:41" x14ac:dyDescent="0.2">
      <c r="B123" s="22" t="str">
        <f>'Wzorzec kategorii'!B85</f>
        <v>Badania</v>
      </c>
      <c r="C123" s="19">
        <v>0</v>
      </c>
      <c r="D123" s="20">
        <f>SUM(Tabela19212547309[#This Row])</f>
        <v>0</v>
      </c>
      <c r="E123" s="20">
        <f t="shared" si="11"/>
        <v>0</v>
      </c>
      <c r="F123" s="21" t="str">
        <f>IFERROR(D123/C123,"")</f>
        <v/>
      </c>
      <c r="G123" s="2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25"/>
      <c r="AO123" s="25"/>
    </row>
    <row r="124" spans="2:41" x14ac:dyDescent="0.2">
      <c r="B124" s="22" t="str">
        <f>'Wzorzec kategorii'!B86</f>
        <v>Lekarstwa</v>
      </c>
      <c r="C124" s="19">
        <v>0</v>
      </c>
      <c r="D124" s="20">
        <f>SUM(Tabela19212547309[#This Row])</f>
        <v>0</v>
      </c>
      <c r="E124" s="20">
        <f t="shared" si="11"/>
        <v>0</v>
      </c>
      <c r="F124" s="21" t="str">
        <f>IFERROR(D124/C124,"")</f>
        <v/>
      </c>
      <c r="G124" s="2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25"/>
      <c r="AO124" s="25"/>
    </row>
    <row r="125" spans="2:41" x14ac:dyDescent="0.2">
      <c r="B125" s="22" t="str">
        <f>'Wzorzec kategorii'!B87</f>
        <v>Inne</v>
      </c>
      <c r="C125" s="19">
        <v>0</v>
      </c>
      <c r="D125" s="20">
        <f>SUM(Tabela19212547309[#This Row])</f>
        <v>0</v>
      </c>
      <c r="E125" s="20">
        <f t="shared" si="11"/>
        <v>0</v>
      </c>
      <c r="F125" s="21" t="str">
        <f>IFERROR(D125/C125,"")</f>
        <v/>
      </c>
      <c r="G125" s="24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25"/>
      <c r="AO125" s="25"/>
    </row>
    <row r="126" spans="2:41" x14ac:dyDescent="0.2">
      <c r="B126" s="50" t="str">
        <f>'Wzorzec kategorii'!B88</f>
        <v>.</v>
      </c>
      <c r="C126" s="19">
        <v>0</v>
      </c>
      <c r="D126" s="20">
        <f>SUM(Tabela19212547309[#This Row])</f>
        <v>0</v>
      </c>
      <c r="E126" s="20">
        <f t="shared" si="11"/>
        <v>0</v>
      </c>
      <c r="F126" s="53" t="str">
        <f t="shared" ref="F126:F131" si="12">IFERROR(D126/C126,"")</f>
        <v/>
      </c>
      <c r="G126" s="54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25"/>
      <c r="AO126" s="25"/>
    </row>
    <row r="127" spans="2:41" x14ac:dyDescent="0.2">
      <c r="B127" s="50" t="str">
        <f>'Wzorzec kategorii'!B89</f>
        <v>.</v>
      </c>
      <c r="C127" s="19">
        <v>0</v>
      </c>
      <c r="D127" s="20">
        <f>SUM(Tabela19212547309[#This Row])</f>
        <v>0</v>
      </c>
      <c r="E127" s="20">
        <f t="shared" si="11"/>
        <v>0</v>
      </c>
      <c r="F127" s="53" t="str">
        <f t="shared" si="12"/>
        <v/>
      </c>
      <c r="G127" s="54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25"/>
      <c r="AO127" s="25"/>
    </row>
    <row r="128" spans="2:41" x14ac:dyDescent="0.2">
      <c r="B128" s="50" t="str">
        <f>'Wzorzec kategorii'!B90</f>
        <v>.</v>
      </c>
      <c r="C128" s="19">
        <v>0</v>
      </c>
      <c r="D128" s="20">
        <f>SUM(Tabela19212547309[#This Row])</f>
        <v>0</v>
      </c>
      <c r="E128" s="20">
        <f t="shared" si="11"/>
        <v>0</v>
      </c>
      <c r="F128" s="53" t="str">
        <f t="shared" si="12"/>
        <v/>
      </c>
      <c r="G128" s="54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25"/>
      <c r="AO128" s="25"/>
    </row>
    <row r="129" spans="2:41" x14ac:dyDescent="0.2">
      <c r="B129" s="50" t="str">
        <f>'Wzorzec kategorii'!B91</f>
        <v>.</v>
      </c>
      <c r="C129" s="19">
        <v>0</v>
      </c>
      <c r="D129" s="20">
        <f>SUM(Tabela19212547309[#This Row])</f>
        <v>0</v>
      </c>
      <c r="E129" s="20">
        <f t="shared" si="11"/>
        <v>0</v>
      </c>
      <c r="F129" s="53" t="str">
        <f t="shared" si="12"/>
        <v/>
      </c>
      <c r="G129" s="54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25"/>
      <c r="AO129" s="25"/>
    </row>
    <row r="130" spans="2:41" x14ac:dyDescent="0.2">
      <c r="B130" s="50" t="str">
        <f>'Wzorzec kategorii'!B92</f>
        <v>.</v>
      </c>
      <c r="C130" s="19">
        <v>0</v>
      </c>
      <c r="D130" s="20">
        <f>SUM(Tabela19212547309[#This Row])</f>
        <v>0</v>
      </c>
      <c r="E130" s="20">
        <f t="shared" si="11"/>
        <v>0</v>
      </c>
      <c r="F130" s="53" t="str">
        <f t="shared" si="12"/>
        <v/>
      </c>
      <c r="G130" s="54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25"/>
      <c r="AO130" s="25"/>
    </row>
    <row r="131" spans="2:41" x14ac:dyDescent="0.2">
      <c r="B131" s="50" t="str">
        <f>'Wzorzec kategorii'!B93</f>
        <v>.</v>
      </c>
      <c r="C131" s="19">
        <v>0</v>
      </c>
      <c r="D131" s="20">
        <f>SUM(Tabela19212547309[#This Row])</f>
        <v>0</v>
      </c>
      <c r="E131" s="20">
        <f t="shared" si="11"/>
        <v>0</v>
      </c>
      <c r="F131" s="53" t="str">
        <f t="shared" si="12"/>
        <v/>
      </c>
      <c r="G131" s="54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25"/>
      <c r="AO131" s="25"/>
    </row>
    <row r="132" spans="2:41" x14ac:dyDescent="0.2">
      <c r="B132" s="13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</row>
    <row r="133" spans="2:41" x14ac:dyDescent="0.2">
      <c r="B133" s="2" t="str">
        <f>'Wzorzec kategorii'!B95</f>
        <v>Ubranie</v>
      </c>
      <c r="C133" s="3">
        <f>SUM(Tabela1034296[[#All],[Kolumna2]])</f>
        <v>0</v>
      </c>
      <c r="D133" s="16">
        <f>SUM(Tabela1034296[[#All],[Kolumna3]])</f>
        <v>0</v>
      </c>
      <c r="E133" s="3">
        <f>C133-D133</f>
        <v>0</v>
      </c>
      <c r="F133" s="17" t="str">
        <f t="shared" ref="F133:F143" si="13">IFERROR(D133/C133,"")</f>
        <v/>
      </c>
      <c r="G133" s="3"/>
      <c r="I133" s="11" t="s">
        <v>44</v>
      </c>
      <c r="J133" s="11" t="s">
        <v>45</v>
      </c>
      <c r="K133" s="11" t="s">
        <v>46</v>
      </c>
      <c r="L133" s="11" t="s">
        <v>47</v>
      </c>
      <c r="M133" s="11" t="s">
        <v>48</v>
      </c>
      <c r="N133" s="11" t="s">
        <v>49</v>
      </c>
      <c r="O133" s="11" t="s">
        <v>50</v>
      </c>
      <c r="P133" s="11" t="s">
        <v>51</v>
      </c>
      <c r="Q133" s="11" t="s">
        <v>52</v>
      </c>
      <c r="R133" s="11" t="s">
        <v>53</v>
      </c>
      <c r="S133" s="11" t="s">
        <v>54</v>
      </c>
      <c r="T133" s="11" t="s">
        <v>55</v>
      </c>
      <c r="U133" s="11" t="s">
        <v>56</v>
      </c>
      <c r="V133" s="11" t="s">
        <v>57</v>
      </c>
      <c r="W133" s="11" t="s">
        <v>58</v>
      </c>
      <c r="X133" s="11" t="s">
        <v>59</v>
      </c>
      <c r="Y133" s="11" t="s">
        <v>60</v>
      </c>
      <c r="Z133" s="11" t="s">
        <v>61</v>
      </c>
      <c r="AA133" s="11" t="s">
        <v>62</v>
      </c>
      <c r="AB133" s="11" t="s">
        <v>63</v>
      </c>
      <c r="AC133" s="11" t="s">
        <v>64</v>
      </c>
      <c r="AD133" s="11" t="s">
        <v>65</v>
      </c>
      <c r="AE133" s="11" t="s">
        <v>66</v>
      </c>
      <c r="AF133" s="11" t="s">
        <v>67</v>
      </c>
      <c r="AG133" s="11" t="s">
        <v>68</v>
      </c>
      <c r="AH133" s="11" t="s">
        <v>69</v>
      </c>
      <c r="AI133" s="11" t="s">
        <v>70</v>
      </c>
      <c r="AJ133" s="11" t="s">
        <v>71</v>
      </c>
      <c r="AK133" s="11" t="s">
        <v>72</v>
      </c>
      <c r="AL133" s="11" t="s">
        <v>73</v>
      </c>
      <c r="AM133" s="11" t="s">
        <v>74</v>
      </c>
      <c r="AN133" s="25"/>
      <c r="AO133" s="25"/>
    </row>
    <row r="134" spans="2:41" x14ac:dyDescent="0.2">
      <c r="B134" s="22" t="str">
        <f>'Wzorzec kategorii'!B96</f>
        <v>Ubranie zwykłe</v>
      </c>
      <c r="C134" s="19">
        <v>0</v>
      </c>
      <c r="D134" s="20">
        <f>SUM(Tabela19212446308[#This Row])</f>
        <v>0</v>
      </c>
      <c r="E134" s="20">
        <f t="shared" ref="E134:E143" si="14">C134-D134</f>
        <v>0</v>
      </c>
      <c r="F134" s="21" t="str">
        <f t="shared" si="13"/>
        <v/>
      </c>
      <c r="G134" s="2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25"/>
      <c r="AO134" s="25"/>
    </row>
    <row r="135" spans="2:41" x14ac:dyDescent="0.2">
      <c r="B135" s="22" t="str">
        <f>'Wzorzec kategorii'!B97</f>
        <v>Ubranie sportowe</v>
      </c>
      <c r="C135" s="19">
        <v>0</v>
      </c>
      <c r="D135" s="20">
        <f>SUM(Tabela19212446308[#This Row])</f>
        <v>0</v>
      </c>
      <c r="E135" s="20">
        <f t="shared" si="14"/>
        <v>0</v>
      </c>
      <c r="F135" s="21" t="str">
        <f t="shared" si="13"/>
        <v/>
      </c>
      <c r="G135" s="24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25"/>
      <c r="AO135" s="25"/>
    </row>
    <row r="136" spans="2:41" x14ac:dyDescent="0.2">
      <c r="B136" s="22" t="str">
        <f>'Wzorzec kategorii'!B98</f>
        <v>Buty</v>
      </c>
      <c r="C136" s="19">
        <v>0</v>
      </c>
      <c r="D136" s="20">
        <f>SUM(Tabela19212446308[#This Row])</f>
        <v>0</v>
      </c>
      <c r="E136" s="20">
        <f t="shared" si="14"/>
        <v>0</v>
      </c>
      <c r="F136" s="21" t="str">
        <f t="shared" si="13"/>
        <v/>
      </c>
      <c r="G136" s="24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25"/>
      <c r="AO136" s="25"/>
    </row>
    <row r="137" spans="2:41" x14ac:dyDescent="0.2">
      <c r="B137" s="22" t="str">
        <f>'Wzorzec kategorii'!B99</f>
        <v>Dodatki</v>
      </c>
      <c r="C137" s="19">
        <v>0</v>
      </c>
      <c r="D137" s="20">
        <f>SUM(Tabela19212446308[#This Row])</f>
        <v>0</v>
      </c>
      <c r="E137" s="20">
        <f t="shared" si="14"/>
        <v>0</v>
      </c>
      <c r="F137" s="21" t="str">
        <f t="shared" si="13"/>
        <v/>
      </c>
      <c r="G137" s="2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25"/>
      <c r="AO137" s="25"/>
    </row>
    <row r="138" spans="2:41" x14ac:dyDescent="0.2">
      <c r="B138" s="22" t="str">
        <f>'Wzorzec kategorii'!B100</f>
        <v>Inne</v>
      </c>
      <c r="C138" s="19">
        <v>0</v>
      </c>
      <c r="D138" s="20">
        <f>SUM(Tabela19212446308[#This Row])</f>
        <v>0</v>
      </c>
      <c r="E138" s="20">
        <f t="shared" si="14"/>
        <v>0</v>
      </c>
      <c r="F138" s="21" t="str">
        <f t="shared" si="13"/>
        <v/>
      </c>
      <c r="G138" s="2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25"/>
      <c r="AO138" s="25"/>
    </row>
    <row r="139" spans="2:41" x14ac:dyDescent="0.2">
      <c r="B139" s="50" t="str">
        <f>'Wzorzec kategorii'!B101</f>
        <v>.</v>
      </c>
      <c r="C139" s="19">
        <v>0</v>
      </c>
      <c r="D139" s="20">
        <f>SUM(Tabela19212446308[#This Row])</f>
        <v>0</v>
      </c>
      <c r="E139" s="20">
        <f t="shared" si="14"/>
        <v>0</v>
      </c>
      <c r="F139" s="53" t="str">
        <f t="shared" si="13"/>
        <v/>
      </c>
      <c r="G139" s="54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25"/>
      <c r="AO139" s="25"/>
    </row>
    <row r="140" spans="2:41" x14ac:dyDescent="0.2">
      <c r="B140" s="50" t="str">
        <f>'Wzorzec kategorii'!B102</f>
        <v>.</v>
      </c>
      <c r="C140" s="19">
        <v>0</v>
      </c>
      <c r="D140" s="20">
        <f>SUM(Tabela19212446308[#This Row])</f>
        <v>0</v>
      </c>
      <c r="E140" s="20">
        <f t="shared" si="14"/>
        <v>0</v>
      </c>
      <c r="F140" s="53" t="str">
        <f t="shared" si="13"/>
        <v/>
      </c>
      <c r="G140" s="54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25"/>
      <c r="AO140" s="25"/>
    </row>
    <row r="141" spans="2:41" x14ac:dyDescent="0.2">
      <c r="B141" s="50" t="str">
        <f>'Wzorzec kategorii'!B103</f>
        <v>.</v>
      </c>
      <c r="C141" s="19">
        <v>0</v>
      </c>
      <c r="D141" s="20">
        <f>SUM(Tabela19212446308[#This Row])</f>
        <v>0</v>
      </c>
      <c r="E141" s="20">
        <f t="shared" si="14"/>
        <v>0</v>
      </c>
      <c r="F141" s="53" t="str">
        <f t="shared" si="13"/>
        <v/>
      </c>
      <c r="G141" s="54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25"/>
      <c r="AO141" s="25"/>
    </row>
    <row r="142" spans="2:41" x14ac:dyDescent="0.2">
      <c r="B142" s="50" t="str">
        <f>'Wzorzec kategorii'!B104</f>
        <v>.</v>
      </c>
      <c r="C142" s="19">
        <v>0</v>
      </c>
      <c r="D142" s="20">
        <f>SUM(Tabela19212446308[#This Row])</f>
        <v>0</v>
      </c>
      <c r="E142" s="20">
        <f t="shared" si="14"/>
        <v>0</v>
      </c>
      <c r="F142" s="53" t="str">
        <f t="shared" si="13"/>
        <v/>
      </c>
      <c r="G142" s="54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25"/>
      <c r="AO142" s="25"/>
    </row>
    <row r="143" spans="2:41" x14ac:dyDescent="0.2">
      <c r="B143" s="50" t="str">
        <f>'Wzorzec kategorii'!B105</f>
        <v>.</v>
      </c>
      <c r="C143" s="19">
        <v>0</v>
      </c>
      <c r="D143" s="20">
        <f>SUM(Tabela19212446308[#This Row])</f>
        <v>0</v>
      </c>
      <c r="E143" s="20">
        <f t="shared" si="14"/>
        <v>0</v>
      </c>
      <c r="F143" s="53" t="str">
        <f t="shared" si="13"/>
        <v/>
      </c>
      <c r="G143" s="54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25"/>
      <c r="AO143" s="25"/>
    </row>
    <row r="144" spans="2:41" x14ac:dyDescent="0.2">
      <c r="B144" s="5" t="s">
        <v>30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</row>
    <row r="145" spans="2:41" x14ac:dyDescent="0.2">
      <c r="B145" s="2" t="str">
        <f>'Wzorzec kategorii'!B107</f>
        <v>Higiena</v>
      </c>
      <c r="C145" s="3">
        <f>SUM(Tabela1135297[[#All],[Kolumna2]])</f>
        <v>0</v>
      </c>
      <c r="D145" s="16">
        <f>SUM(Tabela1135297[[#All],[Kolumna3]])</f>
        <v>0</v>
      </c>
      <c r="E145" s="3">
        <f>C145-D145</f>
        <v>0</v>
      </c>
      <c r="F145" s="17" t="str">
        <f t="shared" ref="F145:F155" si="15">IFERROR(D145/C145,"")</f>
        <v/>
      </c>
      <c r="G145" s="3"/>
      <c r="I145" s="11" t="s">
        <v>44</v>
      </c>
      <c r="J145" s="11" t="s">
        <v>45</v>
      </c>
      <c r="K145" s="11" t="s">
        <v>46</v>
      </c>
      <c r="L145" s="11" t="s">
        <v>47</v>
      </c>
      <c r="M145" s="11" t="s">
        <v>48</v>
      </c>
      <c r="N145" s="11" t="s">
        <v>49</v>
      </c>
      <c r="O145" s="11" t="s">
        <v>50</v>
      </c>
      <c r="P145" s="11" t="s">
        <v>51</v>
      </c>
      <c r="Q145" s="11" t="s">
        <v>52</v>
      </c>
      <c r="R145" s="11" t="s">
        <v>53</v>
      </c>
      <c r="S145" s="11" t="s">
        <v>54</v>
      </c>
      <c r="T145" s="11" t="s">
        <v>55</v>
      </c>
      <c r="U145" s="11" t="s">
        <v>56</v>
      </c>
      <c r="V145" s="11" t="s">
        <v>57</v>
      </c>
      <c r="W145" s="11" t="s">
        <v>58</v>
      </c>
      <c r="X145" s="11" t="s">
        <v>59</v>
      </c>
      <c r="Y145" s="11" t="s">
        <v>60</v>
      </c>
      <c r="Z145" s="11" t="s">
        <v>61</v>
      </c>
      <c r="AA145" s="11" t="s">
        <v>62</v>
      </c>
      <c r="AB145" s="11" t="s">
        <v>63</v>
      </c>
      <c r="AC145" s="11" t="s">
        <v>64</v>
      </c>
      <c r="AD145" s="11" t="s">
        <v>65</v>
      </c>
      <c r="AE145" s="11" t="s">
        <v>66</v>
      </c>
      <c r="AF145" s="11" t="s">
        <v>67</v>
      </c>
      <c r="AG145" s="11" t="s">
        <v>68</v>
      </c>
      <c r="AH145" s="11" t="s">
        <v>69</v>
      </c>
      <c r="AI145" s="11" t="s">
        <v>70</v>
      </c>
      <c r="AJ145" s="11" t="s">
        <v>71</v>
      </c>
      <c r="AK145" s="11" t="s">
        <v>72</v>
      </c>
      <c r="AL145" s="11" t="s">
        <v>73</v>
      </c>
      <c r="AM145" s="11" t="s">
        <v>74</v>
      </c>
      <c r="AN145" s="25"/>
      <c r="AO145" s="25"/>
    </row>
    <row r="146" spans="2:41" x14ac:dyDescent="0.2">
      <c r="B146" s="22" t="str">
        <f>'Wzorzec kategorii'!B108</f>
        <v>Kosmetyki</v>
      </c>
      <c r="C146" s="19">
        <v>0</v>
      </c>
      <c r="D146" s="20">
        <f>SUM(Tabela192244306[#This Row])</f>
        <v>0</v>
      </c>
      <c r="E146" s="20">
        <f t="shared" ref="E146:E155" si="16">C146-D146</f>
        <v>0</v>
      </c>
      <c r="F146" s="21" t="str">
        <f t="shared" si="15"/>
        <v/>
      </c>
      <c r="G146" s="24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25"/>
      <c r="AO146" s="25"/>
    </row>
    <row r="147" spans="2:41" x14ac:dyDescent="0.2">
      <c r="B147" s="22" t="str">
        <f>'Wzorzec kategorii'!B109</f>
        <v>Środki czystości (chemia)</v>
      </c>
      <c r="C147" s="19">
        <v>0</v>
      </c>
      <c r="D147" s="20">
        <f>SUM(Tabela192244306[#This Row])</f>
        <v>0</v>
      </c>
      <c r="E147" s="20">
        <f t="shared" si="16"/>
        <v>0</v>
      </c>
      <c r="F147" s="21" t="str">
        <f t="shared" si="15"/>
        <v/>
      </c>
      <c r="G147" s="2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25"/>
      <c r="AO147" s="25"/>
    </row>
    <row r="148" spans="2:41" x14ac:dyDescent="0.2">
      <c r="B148" s="22" t="str">
        <f>'Wzorzec kategorii'!B110</f>
        <v>Fryzjer</v>
      </c>
      <c r="C148" s="19">
        <v>0</v>
      </c>
      <c r="D148" s="20">
        <f>SUM(Tabela192244306[#This Row])</f>
        <v>0</v>
      </c>
      <c r="E148" s="20">
        <f t="shared" si="16"/>
        <v>0</v>
      </c>
      <c r="F148" s="21" t="str">
        <f t="shared" si="15"/>
        <v/>
      </c>
      <c r="G148" s="2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25"/>
      <c r="AO148" s="25"/>
    </row>
    <row r="149" spans="2:41" x14ac:dyDescent="0.2">
      <c r="B149" s="22" t="str">
        <f>'Wzorzec kategorii'!B111</f>
        <v>Kosmetyczka</v>
      </c>
      <c r="C149" s="19">
        <v>0</v>
      </c>
      <c r="D149" s="20">
        <f>SUM(Tabela192244306[#This Row])</f>
        <v>0</v>
      </c>
      <c r="E149" s="20">
        <f t="shared" si="16"/>
        <v>0</v>
      </c>
      <c r="F149" s="21" t="str">
        <f t="shared" si="15"/>
        <v/>
      </c>
      <c r="G149" s="2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25"/>
      <c r="AO149" s="25"/>
    </row>
    <row r="150" spans="2:41" x14ac:dyDescent="0.2">
      <c r="B150" s="22" t="str">
        <f>'Wzorzec kategorii'!B112</f>
        <v>Inne</v>
      </c>
      <c r="C150" s="19">
        <v>0</v>
      </c>
      <c r="D150" s="20">
        <f>SUM(Tabela192244306[#This Row])</f>
        <v>0</v>
      </c>
      <c r="E150" s="20">
        <f t="shared" si="16"/>
        <v>0</v>
      </c>
      <c r="F150" s="21" t="str">
        <f t="shared" si="15"/>
        <v/>
      </c>
      <c r="G150" s="2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25"/>
      <c r="AO150" s="25"/>
    </row>
    <row r="151" spans="2:41" x14ac:dyDescent="0.2">
      <c r="B151" s="22" t="str">
        <f>'Wzorzec kategorii'!B113</f>
        <v>.</v>
      </c>
      <c r="C151" s="19">
        <v>0</v>
      </c>
      <c r="D151" s="20">
        <f>SUM(Tabela192244306[#This Row])</f>
        <v>0</v>
      </c>
      <c r="E151" s="20">
        <f t="shared" si="16"/>
        <v>0</v>
      </c>
      <c r="F151" s="53" t="str">
        <f t="shared" si="15"/>
        <v/>
      </c>
      <c r="G151" s="54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25"/>
      <c r="AO151" s="25"/>
    </row>
    <row r="152" spans="2:41" x14ac:dyDescent="0.2">
      <c r="B152" s="22" t="str">
        <f>'Wzorzec kategorii'!B114</f>
        <v>.</v>
      </c>
      <c r="C152" s="19">
        <v>0</v>
      </c>
      <c r="D152" s="20">
        <f>SUM(Tabela192244306[#This Row])</f>
        <v>0</v>
      </c>
      <c r="E152" s="20">
        <f t="shared" si="16"/>
        <v>0</v>
      </c>
      <c r="F152" s="53" t="str">
        <f t="shared" si="15"/>
        <v/>
      </c>
      <c r="G152" s="54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25"/>
      <c r="AO152" s="25"/>
    </row>
    <row r="153" spans="2:41" x14ac:dyDescent="0.2">
      <c r="B153" s="22" t="str">
        <f>'Wzorzec kategorii'!B115</f>
        <v>.</v>
      </c>
      <c r="C153" s="19">
        <v>0</v>
      </c>
      <c r="D153" s="20">
        <f>SUM(Tabela192244306[#This Row])</f>
        <v>0</v>
      </c>
      <c r="E153" s="20">
        <f t="shared" si="16"/>
        <v>0</v>
      </c>
      <c r="F153" s="53" t="str">
        <f t="shared" si="15"/>
        <v/>
      </c>
      <c r="G153" s="54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25"/>
      <c r="AO153" s="25"/>
    </row>
    <row r="154" spans="2:41" x14ac:dyDescent="0.2">
      <c r="B154" s="22" t="str">
        <f>'Wzorzec kategorii'!B116</f>
        <v>.</v>
      </c>
      <c r="C154" s="19">
        <v>0</v>
      </c>
      <c r="D154" s="20">
        <f>SUM(Tabela192244306[#This Row])</f>
        <v>0</v>
      </c>
      <c r="E154" s="20">
        <f t="shared" si="16"/>
        <v>0</v>
      </c>
      <c r="F154" s="53" t="str">
        <f t="shared" si="15"/>
        <v/>
      </c>
      <c r="G154" s="54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25"/>
      <c r="AO154" s="25"/>
    </row>
    <row r="155" spans="2:41" x14ac:dyDescent="0.2">
      <c r="B155" s="22" t="str">
        <f>'Wzorzec kategorii'!B117</f>
        <v>.</v>
      </c>
      <c r="C155" s="19">
        <v>0</v>
      </c>
      <c r="D155" s="20">
        <f>SUM(Tabela192244306[#This Row])</f>
        <v>0</v>
      </c>
      <c r="E155" s="20">
        <f t="shared" si="16"/>
        <v>0</v>
      </c>
      <c r="F155" s="53" t="str">
        <f t="shared" si="15"/>
        <v/>
      </c>
      <c r="G155" s="54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25"/>
      <c r="AO155" s="25"/>
    </row>
    <row r="156" spans="2:41" x14ac:dyDescent="0.2">
      <c r="B156" s="5" t="s">
        <v>30</v>
      </c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</row>
    <row r="157" spans="2:41" x14ac:dyDescent="0.2">
      <c r="B157" s="2" t="str">
        <f>'Wzorzec kategorii'!B119</f>
        <v>Dzieci</v>
      </c>
      <c r="C157" s="3">
        <f>SUM(Tabela1236298[[#All],[Kolumna2]])</f>
        <v>0</v>
      </c>
      <c r="D157" s="16">
        <f>SUM(Tabela1236298[[#All],[Kolumna3]])</f>
        <v>0</v>
      </c>
      <c r="E157" s="3">
        <f>C157-D157</f>
        <v>0</v>
      </c>
      <c r="F157" s="17" t="str">
        <f>IFERROR(D157/C157,"")</f>
        <v/>
      </c>
      <c r="G157" s="3"/>
      <c r="I157" s="11" t="s">
        <v>44</v>
      </c>
      <c r="J157" s="11" t="s">
        <v>45</v>
      </c>
      <c r="K157" s="11" t="s">
        <v>46</v>
      </c>
      <c r="L157" s="11" t="s">
        <v>47</v>
      </c>
      <c r="M157" s="11" t="s">
        <v>48</v>
      </c>
      <c r="N157" s="11" t="s">
        <v>49</v>
      </c>
      <c r="O157" s="11" t="s">
        <v>50</v>
      </c>
      <c r="P157" s="11" t="s">
        <v>51</v>
      </c>
      <c r="Q157" s="11" t="s">
        <v>52</v>
      </c>
      <c r="R157" s="11" t="s">
        <v>53</v>
      </c>
      <c r="S157" s="11" t="s">
        <v>54</v>
      </c>
      <c r="T157" s="11" t="s">
        <v>55</v>
      </c>
      <c r="U157" s="11" t="s">
        <v>56</v>
      </c>
      <c r="V157" s="11" t="s">
        <v>57</v>
      </c>
      <c r="W157" s="11" t="s">
        <v>58</v>
      </c>
      <c r="X157" s="11" t="s">
        <v>59</v>
      </c>
      <c r="Y157" s="11" t="s">
        <v>60</v>
      </c>
      <c r="Z157" s="11" t="s">
        <v>61</v>
      </c>
      <c r="AA157" s="11" t="s">
        <v>62</v>
      </c>
      <c r="AB157" s="11" t="s">
        <v>63</v>
      </c>
      <c r="AC157" s="11" t="s">
        <v>64</v>
      </c>
      <c r="AD157" s="11" t="s">
        <v>65</v>
      </c>
      <c r="AE157" s="11" t="s">
        <v>66</v>
      </c>
      <c r="AF157" s="11" t="s">
        <v>67</v>
      </c>
      <c r="AG157" s="11" t="s">
        <v>68</v>
      </c>
      <c r="AH157" s="11" t="s">
        <v>69</v>
      </c>
      <c r="AI157" s="11" t="s">
        <v>70</v>
      </c>
      <c r="AJ157" s="11" t="s">
        <v>71</v>
      </c>
      <c r="AK157" s="11" t="s">
        <v>72</v>
      </c>
      <c r="AL157" s="11" t="s">
        <v>73</v>
      </c>
      <c r="AM157" s="11" t="s">
        <v>74</v>
      </c>
      <c r="AN157" s="25"/>
      <c r="AO157" s="25"/>
    </row>
    <row r="158" spans="2:41" x14ac:dyDescent="0.2">
      <c r="B158" s="22" t="str">
        <f>'Wzorzec kategorii'!B120</f>
        <v>Artykuły szkolne</v>
      </c>
      <c r="C158" s="19">
        <v>0</v>
      </c>
      <c r="D158" s="20">
        <f>SUM(Tabela2548310[#This Row])</f>
        <v>0</v>
      </c>
      <c r="E158" s="20">
        <f t="shared" ref="E158:E167" si="17">C158-D158</f>
        <v>0</v>
      </c>
      <c r="F158" s="21" t="str">
        <f t="shared" ref="F158:F167" si="18">IFERROR(D158/C158,"")</f>
        <v/>
      </c>
      <c r="G158" s="2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25"/>
      <c r="AO158" s="25"/>
    </row>
    <row r="159" spans="2:41" x14ac:dyDescent="0.2">
      <c r="B159" s="22" t="str">
        <f>'Wzorzec kategorii'!B121</f>
        <v>Dodatkowe zajęcia</v>
      </c>
      <c r="C159" s="19">
        <v>0</v>
      </c>
      <c r="D159" s="20">
        <f>SUM(Tabela2548310[#This Row])</f>
        <v>0</v>
      </c>
      <c r="E159" s="20">
        <f t="shared" si="17"/>
        <v>0</v>
      </c>
      <c r="F159" s="21" t="str">
        <f t="shared" si="18"/>
        <v/>
      </c>
      <c r="G159" s="2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25"/>
      <c r="AO159" s="25"/>
    </row>
    <row r="160" spans="2:41" x14ac:dyDescent="0.2">
      <c r="B160" s="22" t="str">
        <f>'Wzorzec kategorii'!B122</f>
        <v>Wpłaty na szkołę itp.</v>
      </c>
      <c r="C160" s="19">
        <v>0</v>
      </c>
      <c r="D160" s="20">
        <f>SUM(Tabela2548310[#This Row])</f>
        <v>0</v>
      </c>
      <c r="E160" s="20">
        <f t="shared" si="17"/>
        <v>0</v>
      </c>
      <c r="F160" s="21" t="str">
        <f t="shared" si="18"/>
        <v/>
      </c>
      <c r="G160" s="2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25"/>
      <c r="AO160" s="25"/>
    </row>
    <row r="161" spans="2:41" x14ac:dyDescent="0.2">
      <c r="B161" s="22" t="str">
        <f>'Wzorzec kategorii'!B123</f>
        <v>Zabawki / gry</v>
      </c>
      <c r="C161" s="19">
        <v>0</v>
      </c>
      <c r="D161" s="20">
        <f>SUM(Tabela2548310[#This Row])</f>
        <v>0</v>
      </c>
      <c r="E161" s="20">
        <f t="shared" si="17"/>
        <v>0</v>
      </c>
      <c r="F161" s="21" t="str">
        <f t="shared" si="18"/>
        <v/>
      </c>
      <c r="G161" s="2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25"/>
      <c r="AO161" s="25"/>
    </row>
    <row r="162" spans="2:41" x14ac:dyDescent="0.2">
      <c r="B162" s="22" t="str">
        <f>'Wzorzec kategorii'!B124</f>
        <v>Opieka nad dziećmi</v>
      </c>
      <c r="C162" s="19">
        <v>0</v>
      </c>
      <c r="D162" s="20">
        <f>SUM(Tabela2548310[#This Row])</f>
        <v>0</v>
      </c>
      <c r="E162" s="20">
        <f t="shared" si="17"/>
        <v>0</v>
      </c>
      <c r="F162" s="21" t="str">
        <f t="shared" si="18"/>
        <v/>
      </c>
      <c r="G162" s="2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25"/>
      <c r="AO162" s="25"/>
    </row>
    <row r="163" spans="2:41" x14ac:dyDescent="0.2">
      <c r="B163" s="22" t="str">
        <f>'Wzorzec kategorii'!B125</f>
        <v>Inne</v>
      </c>
      <c r="C163" s="19">
        <v>0</v>
      </c>
      <c r="D163" s="20">
        <f>SUM(Tabela2548310[#This Row])</f>
        <v>0</v>
      </c>
      <c r="E163" s="20">
        <f t="shared" si="17"/>
        <v>0</v>
      </c>
      <c r="F163" s="21" t="str">
        <f t="shared" si="18"/>
        <v/>
      </c>
      <c r="G163" s="24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25"/>
      <c r="AO163" s="25"/>
    </row>
    <row r="164" spans="2:41" x14ac:dyDescent="0.2">
      <c r="B164" s="51" t="str">
        <f>'Wzorzec kategorii'!B126</f>
        <v>.</v>
      </c>
      <c r="C164" s="19">
        <v>0</v>
      </c>
      <c r="D164" s="20">
        <f>SUM(Tabela2548310[#This Row])</f>
        <v>0</v>
      </c>
      <c r="E164" s="20">
        <f t="shared" si="17"/>
        <v>0</v>
      </c>
      <c r="F164" s="53" t="str">
        <f t="shared" si="18"/>
        <v/>
      </c>
      <c r="G164" s="24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25"/>
      <c r="AO164" s="25"/>
    </row>
    <row r="165" spans="2:41" x14ac:dyDescent="0.2">
      <c r="B165" s="51" t="str">
        <f>'Wzorzec kategorii'!B127</f>
        <v>.</v>
      </c>
      <c r="C165" s="19">
        <v>0</v>
      </c>
      <c r="D165" s="20">
        <f>SUM(Tabela2548310[#This Row])</f>
        <v>0</v>
      </c>
      <c r="E165" s="20">
        <f t="shared" si="17"/>
        <v>0</v>
      </c>
      <c r="F165" s="53" t="str">
        <f t="shared" si="18"/>
        <v/>
      </c>
      <c r="G165" s="24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25"/>
      <c r="AO165" s="25"/>
    </row>
    <row r="166" spans="2:41" x14ac:dyDescent="0.2">
      <c r="B166" s="51" t="str">
        <f>'Wzorzec kategorii'!B128</f>
        <v>.</v>
      </c>
      <c r="C166" s="19">
        <v>0</v>
      </c>
      <c r="D166" s="20">
        <f>SUM(Tabela2548310[#This Row])</f>
        <v>0</v>
      </c>
      <c r="E166" s="20">
        <f t="shared" si="17"/>
        <v>0</v>
      </c>
      <c r="F166" s="53" t="str">
        <f t="shared" si="18"/>
        <v/>
      </c>
      <c r="G166" s="24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25"/>
      <c r="AO166" s="25"/>
    </row>
    <row r="167" spans="2:41" x14ac:dyDescent="0.2">
      <c r="B167" s="51" t="str">
        <f>'Wzorzec kategorii'!B129</f>
        <v>.</v>
      </c>
      <c r="C167" s="19">
        <v>0</v>
      </c>
      <c r="D167" s="20">
        <f>SUM(Tabela2548310[#This Row])</f>
        <v>0</v>
      </c>
      <c r="E167" s="20">
        <f t="shared" si="17"/>
        <v>0</v>
      </c>
      <c r="F167" s="53" t="str">
        <f t="shared" si="18"/>
        <v/>
      </c>
      <c r="G167" s="24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25"/>
      <c r="AO167" s="25"/>
    </row>
    <row r="168" spans="2:41" x14ac:dyDescent="0.2">
      <c r="B168" s="5" t="s">
        <v>30</v>
      </c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</row>
    <row r="169" spans="2:41" x14ac:dyDescent="0.2">
      <c r="B169" s="2" t="str">
        <f>'Wzorzec kategorii'!B131</f>
        <v>Rozrywka</v>
      </c>
      <c r="C169" s="3">
        <f>SUM(Tabela1337299[[#All],[Kolumna2]])</f>
        <v>0</v>
      </c>
      <c r="D169" s="16">
        <f>SUM(Tabela1337299[[#All],[Kolumna3]])</f>
        <v>0</v>
      </c>
      <c r="E169" s="3">
        <f>C169-D169</f>
        <v>0</v>
      </c>
      <c r="F169" s="17" t="str">
        <f>IFERROR(D169/C169,"")</f>
        <v/>
      </c>
      <c r="G169" s="3"/>
      <c r="I169" s="11" t="s">
        <v>44</v>
      </c>
      <c r="J169" s="11" t="s">
        <v>45</v>
      </c>
      <c r="K169" s="11" t="s">
        <v>46</v>
      </c>
      <c r="L169" s="11" t="s">
        <v>47</v>
      </c>
      <c r="M169" s="11" t="s">
        <v>48</v>
      </c>
      <c r="N169" s="11" t="s">
        <v>49</v>
      </c>
      <c r="O169" s="11" t="s">
        <v>50</v>
      </c>
      <c r="P169" s="11" t="s">
        <v>51</v>
      </c>
      <c r="Q169" s="11" t="s">
        <v>52</v>
      </c>
      <c r="R169" s="11" t="s">
        <v>53</v>
      </c>
      <c r="S169" s="11" t="s">
        <v>54</v>
      </c>
      <c r="T169" s="11" t="s">
        <v>55</v>
      </c>
      <c r="U169" s="11" t="s">
        <v>56</v>
      </c>
      <c r="V169" s="11" t="s">
        <v>57</v>
      </c>
      <c r="W169" s="11" t="s">
        <v>58</v>
      </c>
      <c r="X169" s="11" t="s">
        <v>59</v>
      </c>
      <c r="Y169" s="11" t="s">
        <v>60</v>
      </c>
      <c r="Z169" s="11" t="s">
        <v>61</v>
      </c>
      <c r="AA169" s="11" t="s">
        <v>62</v>
      </c>
      <c r="AB169" s="11" t="s">
        <v>63</v>
      </c>
      <c r="AC169" s="11" t="s">
        <v>64</v>
      </c>
      <c r="AD169" s="11" t="s">
        <v>65</v>
      </c>
      <c r="AE169" s="11" t="s">
        <v>66</v>
      </c>
      <c r="AF169" s="11" t="s">
        <v>67</v>
      </c>
      <c r="AG169" s="11" t="s">
        <v>68</v>
      </c>
      <c r="AH169" s="11" t="s">
        <v>69</v>
      </c>
      <c r="AI169" s="11" t="s">
        <v>70</v>
      </c>
      <c r="AJ169" s="11" t="s">
        <v>71</v>
      </c>
      <c r="AK169" s="11" t="s">
        <v>72</v>
      </c>
      <c r="AL169" s="11" t="s">
        <v>73</v>
      </c>
      <c r="AM169" s="11" t="s">
        <v>74</v>
      </c>
      <c r="AN169" s="25"/>
      <c r="AO169" s="25"/>
    </row>
    <row r="170" spans="2:41" x14ac:dyDescent="0.2">
      <c r="B170" s="22" t="str">
        <f>'Wzorzec kategorii'!B132</f>
        <v>Siłownia / Basen</v>
      </c>
      <c r="C170" s="19">
        <v>0</v>
      </c>
      <c r="D170" s="20">
        <f>SUM(Tabela2649311[#This Row])</f>
        <v>0</v>
      </c>
      <c r="E170" s="20">
        <f t="shared" ref="E170:E179" si="19">C170-D170</f>
        <v>0</v>
      </c>
      <c r="F170" s="21" t="str">
        <f t="shared" ref="F170:F179" si="20">IFERROR(D170/C170,"")</f>
        <v/>
      </c>
      <c r="G170" s="24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25"/>
      <c r="AO170" s="25"/>
    </row>
    <row r="171" spans="2:41" x14ac:dyDescent="0.2">
      <c r="B171" s="22" t="str">
        <f>'Wzorzec kategorii'!B133</f>
        <v>Kino / Teatr</v>
      </c>
      <c r="C171" s="19">
        <v>0</v>
      </c>
      <c r="D171" s="20">
        <f>SUM(Tabela2649311[#This Row])</f>
        <v>0</v>
      </c>
      <c r="E171" s="20">
        <f t="shared" si="19"/>
        <v>0</v>
      </c>
      <c r="F171" s="21" t="str">
        <f t="shared" si="20"/>
        <v/>
      </c>
      <c r="G171" s="24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25"/>
      <c r="AO171" s="25"/>
    </row>
    <row r="172" spans="2:41" x14ac:dyDescent="0.2">
      <c r="B172" s="22" t="str">
        <f>'Wzorzec kategorii'!B134</f>
        <v>Koncerty</v>
      </c>
      <c r="C172" s="19">
        <v>0</v>
      </c>
      <c r="D172" s="20">
        <f>SUM(Tabela2649311[#This Row])</f>
        <v>0</v>
      </c>
      <c r="E172" s="20">
        <f t="shared" si="19"/>
        <v>0</v>
      </c>
      <c r="F172" s="21" t="str">
        <f t="shared" si="20"/>
        <v/>
      </c>
      <c r="G172" s="24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25"/>
      <c r="AO172" s="25"/>
    </row>
    <row r="173" spans="2:41" x14ac:dyDescent="0.2">
      <c r="B173" s="22" t="str">
        <f>'Wzorzec kategorii'!B135</f>
        <v>Czasopisma</v>
      </c>
      <c r="C173" s="19">
        <v>0</v>
      </c>
      <c r="D173" s="20">
        <f>SUM(Tabela2649311[#This Row])</f>
        <v>0</v>
      </c>
      <c r="E173" s="20">
        <f t="shared" si="19"/>
        <v>0</v>
      </c>
      <c r="F173" s="21" t="str">
        <f t="shared" si="20"/>
        <v/>
      </c>
      <c r="G173" s="24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25"/>
      <c r="AO173" s="25"/>
    </row>
    <row r="174" spans="2:41" x14ac:dyDescent="0.2">
      <c r="B174" s="22" t="str">
        <f>'Wzorzec kategorii'!B136</f>
        <v>Książki</v>
      </c>
      <c r="C174" s="19">
        <v>0</v>
      </c>
      <c r="D174" s="20">
        <f>SUM(Tabela2649311[#This Row])</f>
        <v>0</v>
      </c>
      <c r="E174" s="20">
        <f t="shared" si="19"/>
        <v>0</v>
      </c>
      <c r="F174" s="21" t="str">
        <f t="shared" si="20"/>
        <v/>
      </c>
      <c r="G174" s="24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25"/>
      <c r="AO174" s="25"/>
    </row>
    <row r="175" spans="2:41" x14ac:dyDescent="0.2">
      <c r="B175" s="22" t="str">
        <f>'Wzorzec kategorii'!B137</f>
        <v>Hobby</v>
      </c>
      <c r="C175" s="19">
        <v>0</v>
      </c>
      <c r="D175" s="20">
        <f>SUM(Tabela2649311[#This Row])</f>
        <v>0</v>
      </c>
      <c r="E175" s="20">
        <f t="shared" si="19"/>
        <v>0</v>
      </c>
      <c r="F175" s="21" t="str">
        <f t="shared" si="20"/>
        <v/>
      </c>
      <c r="G175" s="24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25"/>
      <c r="AO175" s="25"/>
    </row>
    <row r="176" spans="2:41" x14ac:dyDescent="0.2">
      <c r="B176" s="22" t="str">
        <f>'Wzorzec kategorii'!B138</f>
        <v>Hotel / Turystyka</v>
      </c>
      <c r="C176" s="19">
        <v>0</v>
      </c>
      <c r="D176" s="20">
        <f>SUM(Tabela2649311[#This Row])</f>
        <v>0</v>
      </c>
      <c r="E176" s="20">
        <f t="shared" si="19"/>
        <v>0</v>
      </c>
      <c r="F176" s="21" t="str">
        <f t="shared" si="20"/>
        <v/>
      </c>
      <c r="G176" s="24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25"/>
      <c r="AO176" s="25"/>
    </row>
    <row r="177" spans="2:41" x14ac:dyDescent="0.2">
      <c r="B177" s="22" t="str">
        <f>'Wzorzec kategorii'!B139</f>
        <v>Inne</v>
      </c>
      <c r="C177" s="19">
        <v>0</v>
      </c>
      <c r="D177" s="20">
        <f>SUM(Tabela2649311[#This Row])</f>
        <v>0</v>
      </c>
      <c r="E177" s="20">
        <f t="shared" si="19"/>
        <v>0</v>
      </c>
      <c r="F177" s="21" t="str">
        <f t="shared" si="20"/>
        <v/>
      </c>
      <c r="G177" s="24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25"/>
      <c r="AO177" s="25"/>
    </row>
    <row r="178" spans="2:41" x14ac:dyDescent="0.2">
      <c r="B178" s="22" t="str">
        <f>'Wzorzec kategorii'!B140</f>
        <v>.</v>
      </c>
      <c r="C178" s="19">
        <v>0</v>
      </c>
      <c r="D178" s="20">
        <f>SUM(Tabela2649311[#This Row])</f>
        <v>0</v>
      </c>
      <c r="E178" s="20">
        <f t="shared" si="19"/>
        <v>0</v>
      </c>
      <c r="F178" s="53" t="str">
        <f t="shared" si="20"/>
        <v/>
      </c>
      <c r="G178" s="54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25"/>
      <c r="AO178" s="25"/>
    </row>
    <row r="179" spans="2:41" x14ac:dyDescent="0.2">
      <c r="B179" s="22" t="str">
        <f>'Wzorzec kategorii'!B141</f>
        <v>.</v>
      </c>
      <c r="C179" s="19">
        <v>0</v>
      </c>
      <c r="D179" s="20">
        <f>SUM(Tabela2649311[#This Row])</f>
        <v>0</v>
      </c>
      <c r="E179" s="20">
        <f t="shared" si="19"/>
        <v>0</v>
      </c>
      <c r="F179" s="53" t="str">
        <f t="shared" si="20"/>
        <v/>
      </c>
      <c r="G179" s="54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25"/>
      <c r="AO179" s="25"/>
    </row>
    <row r="180" spans="2:41" x14ac:dyDescent="0.2">
      <c r="B180" s="5" t="s">
        <v>30</v>
      </c>
      <c r="AN180" s="25"/>
      <c r="AO180" s="25"/>
    </row>
    <row r="181" spans="2:41" x14ac:dyDescent="0.2">
      <c r="B181" s="2" t="str">
        <f>'Wzorzec kategorii'!B143</f>
        <v>Inne wydatki</v>
      </c>
      <c r="C181" s="3">
        <f>SUM(Tabela1438300[[#All],[Kolumna2]])</f>
        <v>0</v>
      </c>
      <c r="D181" s="16">
        <f>SUM(Tabela1438300[[#All],[Kolumna3]])</f>
        <v>0</v>
      </c>
      <c r="E181" s="3">
        <f>C181-D181</f>
        <v>0</v>
      </c>
      <c r="F181" s="17" t="str">
        <f>IFERROR(D181/C181,"")</f>
        <v/>
      </c>
      <c r="G181" s="3"/>
      <c r="I181" s="11" t="s">
        <v>44</v>
      </c>
      <c r="J181" s="11" t="s">
        <v>45</v>
      </c>
      <c r="K181" s="11" t="s">
        <v>46</v>
      </c>
      <c r="L181" s="11" t="s">
        <v>47</v>
      </c>
      <c r="M181" s="11" t="s">
        <v>48</v>
      </c>
      <c r="N181" s="11" t="s">
        <v>49</v>
      </c>
      <c r="O181" s="11" t="s">
        <v>50</v>
      </c>
      <c r="P181" s="11" t="s">
        <v>51</v>
      </c>
      <c r="Q181" s="11" t="s">
        <v>52</v>
      </c>
      <c r="R181" s="11" t="s">
        <v>53</v>
      </c>
      <c r="S181" s="11" t="s">
        <v>54</v>
      </c>
      <c r="T181" s="11" t="s">
        <v>55</v>
      </c>
      <c r="U181" s="11" t="s">
        <v>56</v>
      </c>
      <c r="V181" s="11" t="s">
        <v>57</v>
      </c>
      <c r="W181" s="11" t="s">
        <v>58</v>
      </c>
      <c r="X181" s="11" t="s">
        <v>59</v>
      </c>
      <c r="Y181" s="11" t="s">
        <v>60</v>
      </c>
      <c r="Z181" s="11" t="s">
        <v>61</v>
      </c>
      <c r="AA181" s="11" t="s">
        <v>62</v>
      </c>
      <c r="AB181" s="11" t="s">
        <v>63</v>
      </c>
      <c r="AC181" s="11" t="s">
        <v>64</v>
      </c>
      <c r="AD181" s="11" t="s">
        <v>65</v>
      </c>
      <c r="AE181" s="11" t="s">
        <v>66</v>
      </c>
      <c r="AF181" s="11" t="s">
        <v>67</v>
      </c>
      <c r="AG181" s="11" t="s">
        <v>68</v>
      </c>
      <c r="AH181" s="11" t="s">
        <v>69</v>
      </c>
      <c r="AI181" s="11" t="s">
        <v>70</v>
      </c>
      <c r="AJ181" s="11" t="s">
        <v>71</v>
      </c>
      <c r="AK181" s="11" t="s">
        <v>72</v>
      </c>
      <c r="AL181" s="11" t="s">
        <v>73</v>
      </c>
      <c r="AM181" s="11" t="s">
        <v>74</v>
      </c>
      <c r="AN181" s="25"/>
      <c r="AO181" s="25"/>
    </row>
    <row r="182" spans="2:41" x14ac:dyDescent="0.2">
      <c r="B182" s="22" t="str">
        <f>'Wzorzec kategorii'!B144</f>
        <v>Dobroczynność</v>
      </c>
      <c r="C182" s="19">
        <v>0</v>
      </c>
      <c r="D182" s="20">
        <f>SUM(Tabela2750312[#This Row])</f>
        <v>0</v>
      </c>
      <c r="E182" s="20">
        <f t="shared" ref="E182:E191" si="21">C182-D182</f>
        <v>0</v>
      </c>
      <c r="F182" s="21" t="str">
        <f t="shared" ref="F182:F191" si="22">IFERROR(D182/C182,"")</f>
        <v/>
      </c>
      <c r="G182" s="24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25"/>
      <c r="AO182" s="25"/>
    </row>
    <row r="183" spans="2:41" x14ac:dyDescent="0.2">
      <c r="B183" s="22" t="str">
        <f>'Wzorzec kategorii'!B145</f>
        <v>Prezenty</v>
      </c>
      <c r="C183" s="19">
        <v>0</v>
      </c>
      <c r="D183" s="20">
        <f>SUM(Tabela2750312[#This Row])</f>
        <v>0</v>
      </c>
      <c r="E183" s="20">
        <f t="shared" si="21"/>
        <v>0</v>
      </c>
      <c r="F183" s="21" t="str">
        <f t="shared" si="22"/>
        <v/>
      </c>
      <c r="G183" s="24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25"/>
      <c r="AO183" s="25"/>
    </row>
    <row r="184" spans="2:41" x14ac:dyDescent="0.2">
      <c r="B184" s="22" t="str">
        <f>'Wzorzec kategorii'!B146</f>
        <v>Sprzęt RTV</v>
      </c>
      <c r="C184" s="19">
        <v>0</v>
      </c>
      <c r="D184" s="20">
        <f>SUM(Tabela2750312[#This Row])</f>
        <v>0</v>
      </c>
      <c r="E184" s="20">
        <f t="shared" si="21"/>
        <v>0</v>
      </c>
      <c r="F184" s="21" t="str">
        <f t="shared" si="22"/>
        <v/>
      </c>
      <c r="G184" s="24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25"/>
      <c r="AO184" s="25"/>
    </row>
    <row r="185" spans="2:41" x14ac:dyDescent="0.2">
      <c r="B185" s="22" t="str">
        <f>'Wzorzec kategorii'!B147</f>
        <v>Oprogramowanie</v>
      </c>
      <c r="C185" s="19">
        <v>0</v>
      </c>
      <c r="D185" s="20">
        <f>SUM(Tabela2750312[#This Row])</f>
        <v>0</v>
      </c>
      <c r="E185" s="20">
        <f t="shared" si="21"/>
        <v>0</v>
      </c>
      <c r="F185" s="21" t="str">
        <f t="shared" si="22"/>
        <v/>
      </c>
      <c r="G185" s="24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25"/>
      <c r="AO185" s="25"/>
    </row>
    <row r="186" spans="2:41" x14ac:dyDescent="0.2">
      <c r="B186" s="22" t="str">
        <f>'Wzorzec kategorii'!B148</f>
        <v>Edukacja / Szkolenia</v>
      </c>
      <c r="C186" s="19">
        <v>0</v>
      </c>
      <c r="D186" s="20">
        <f>SUM(Tabela2750312[#This Row])</f>
        <v>0</v>
      </c>
      <c r="E186" s="20">
        <f t="shared" si="21"/>
        <v>0</v>
      </c>
      <c r="F186" s="21" t="str">
        <f t="shared" si="22"/>
        <v/>
      </c>
      <c r="G186" s="24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25"/>
      <c r="AO186" s="25"/>
    </row>
    <row r="187" spans="2:41" x14ac:dyDescent="0.2">
      <c r="B187" s="22" t="str">
        <f>'Wzorzec kategorii'!B149</f>
        <v>Usługi inne</v>
      </c>
      <c r="C187" s="19">
        <v>0</v>
      </c>
      <c r="D187" s="20">
        <f>SUM(Tabela2750312[#This Row])</f>
        <v>0</v>
      </c>
      <c r="E187" s="20">
        <f t="shared" si="21"/>
        <v>0</v>
      </c>
      <c r="F187" s="21" t="str">
        <f t="shared" si="22"/>
        <v/>
      </c>
      <c r="G187" s="24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25"/>
      <c r="AO187" s="25"/>
    </row>
    <row r="188" spans="2:41" x14ac:dyDescent="0.2">
      <c r="B188" s="22" t="str">
        <f>'Wzorzec kategorii'!B150</f>
        <v>Podatki</v>
      </c>
      <c r="C188" s="19">
        <v>0</v>
      </c>
      <c r="D188" s="20">
        <f>SUM(Tabela2750312[#This Row])</f>
        <v>0</v>
      </c>
      <c r="E188" s="20">
        <f t="shared" si="21"/>
        <v>0</v>
      </c>
      <c r="F188" s="21" t="str">
        <f t="shared" si="22"/>
        <v/>
      </c>
      <c r="G188" s="24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25"/>
      <c r="AO188" s="25"/>
    </row>
    <row r="189" spans="2:41" x14ac:dyDescent="0.2">
      <c r="B189" s="22" t="str">
        <f>'Wzorzec kategorii'!B151</f>
        <v>Inne</v>
      </c>
      <c r="C189" s="19">
        <v>0</v>
      </c>
      <c r="D189" s="20">
        <f>SUM(Tabela2750312[#This Row])</f>
        <v>0</v>
      </c>
      <c r="E189" s="20">
        <f t="shared" si="21"/>
        <v>0</v>
      </c>
      <c r="F189" s="21" t="str">
        <f t="shared" si="22"/>
        <v/>
      </c>
      <c r="G189" s="24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25"/>
      <c r="AO189" s="25"/>
    </row>
    <row r="190" spans="2:41" x14ac:dyDescent="0.2">
      <c r="B190" s="22" t="str">
        <f>'Wzorzec kategorii'!B152</f>
        <v>.</v>
      </c>
      <c r="C190" s="19">
        <v>0</v>
      </c>
      <c r="D190" s="20">
        <f>SUM(Tabela2750312[#This Row])</f>
        <v>0</v>
      </c>
      <c r="E190" s="20">
        <f t="shared" si="21"/>
        <v>0</v>
      </c>
      <c r="F190" s="53" t="str">
        <f t="shared" si="22"/>
        <v/>
      </c>
      <c r="G190" s="54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25"/>
      <c r="AO190" s="25"/>
    </row>
    <row r="191" spans="2:41" x14ac:dyDescent="0.2">
      <c r="B191" s="22" t="str">
        <f>'Wzorzec kategorii'!B153</f>
        <v>.</v>
      </c>
      <c r="C191" s="19">
        <v>0</v>
      </c>
      <c r="D191" s="20">
        <f>SUM(Tabela2750312[#This Row])</f>
        <v>0</v>
      </c>
      <c r="E191" s="20">
        <f t="shared" si="21"/>
        <v>0</v>
      </c>
      <c r="F191" s="53" t="str">
        <f t="shared" si="22"/>
        <v/>
      </c>
      <c r="G191" s="54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25"/>
      <c r="AO191" s="25"/>
    </row>
    <row r="192" spans="2:41" x14ac:dyDescent="0.2">
      <c r="B192" s="5" t="s">
        <v>30</v>
      </c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</row>
    <row r="193" spans="2:41" x14ac:dyDescent="0.2">
      <c r="B193" s="2" t="str">
        <f>'Wzorzec kategorii'!B155</f>
        <v>Spłata długów</v>
      </c>
      <c r="C193" s="3">
        <f>SUM(Tabela1539301[[#All],[Kolumna2]])</f>
        <v>0</v>
      </c>
      <c r="D193" s="16">
        <f>SUM(Tabela1539301[[#All],[Kolumna3]])</f>
        <v>0</v>
      </c>
      <c r="E193" s="3">
        <f>C193-D193</f>
        <v>0</v>
      </c>
      <c r="F193" s="17" t="str">
        <f>IFERROR(D193/C193,"")</f>
        <v/>
      </c>
      <c r="G193" s="3"/>
      <c r="I193" s="11" t="s">
        <v>44</v>
      </c>
      <c r="J193" s="11" t="s">
        <v>45</v>
      </c>
      <c r="K193" s="11" t="s">
        <v>46</v>
      </c>
      <c r="L193" s="11" t="s">
        <v>47</v>
      </c>
      <c r="M193" s="11" t="s">
        <v>48</v>
      </c>
      <c r="N193" s="11" t="s">
        <v>49</v>
      </c>
      <c r="O193" s="11" t="s">
        <v>50</v>
      </c>
      <c r="P193" s="11" t="s">
        <v>51</v>
      </c>
      <c r="Q193" s="11" t="s">
        <v>52</v>
      </c>
      <c r="R193" s="11" t="s">
        <v>53</v>
      </c>
      <c r="S193" s="11" t="s">
        <v>54</v>
      </c>
      <c r="T193" s="11" t="s">
        <v>55</v>
      </c>
      <c r="U193" s="11" t="s">
        <v>56</v>
      </c>
      <c r="V193" s="11" t="s">
        <v>57</v>
      </c>
      <c r="W193" s="11" t="s">
        <v>58</v>
      </c>
      <c r="X193" s="11" t="s">
        <v>59</v>
      </c>
      <c r="Y193" s="11" t="s">
        <v>60</v>
      </c>
      <c r="Z193" s="11" t="s">
        <v>61</v>
      </c>
      <c r="AA193" s="11" t="s">
        <v>62</v>
      </c>
      <c r="AB193" s="11" t="s">
        <v>63</v>
      </c>
      <c r="AC193" s="11" t="s">
        <v>64</v>
      </c>
      <c r="AD193" s="11" t="s">
        <v>65</v>
      </c>
      <c r="AE193" s="11" t="s">
        <v>66</v>
      </c>
      <c r="AF193" s="11" t="s">
        <v>67</v>
      </c>
      <c r="AG193" s="11" t="s">
        <v>68</v>
      </c>
      <c r="AH193" s="11" t="s">
        <v>69</v>
      </c>
      <c r="AI193" s="11" t="s">
        <v>70</v>
      </c>
      <c r="AJ193" s="11" t="s">
        <v>71</v>
      </c>
      <c r="AK193" s="11" t="s">
        <v>72</v>
      </c>
      <c r="AL193" s="11" t="s">
        <v>73</v>
      </c>
      <c r="AM193" s="11" t="s">
        <v>74</v>
      </c>
      <c r="AN193" s="25"/>
      <c r="AO193" s="25"/>
    </row>
    <row r="194" spans="2:41" x14ac:dyDescent="0.2">
      <c r="B194" s="22" t="str">
        <f>'Wzorzec kategorii'!B156</f>
        <v>Kredyt hipoteczny</v>
      </c>
      <c r="C194" s="19">
        <v>0</v>
      </c>
      <c r="D194" s="20">
        <f>SUM(Tabela2851313[#This Row])</f>
        <v>0</v>
      </c>
      <c r="E194" s="20">
        <f t="shared" ref="E194:E203" si="23">C194-D194</f>
        <v>0</v>
      </c>
      <c r="F194" s="21" t="str">
        <f t="shared" ref="F194:F203" si="24">IFERROR(D194/C194,"")</f>
        <v/>
      </c>
      <c r="G194" s="24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25"/>
      <c r="AO194" s="25"/>
    </row>
    <row r="195" spans="2:41" x14ac:dyDescent="0.2">
      <c r="B195" s="22" t="str">
        <f>'Wzorzec kategorii'!B157</f>
        <v>Kredyt konsumpcyjny</v>
      </c>
      <c r="C195" s="19">
        <v>0</v>
      </c>
      <c r="D195" s="20">
        <f>SUM(Tabela2851313[#This Row])</f>
        <v>0</v>
      </c>
      <c r="E195" s="20">
        <f t="shared" si="23"/>
        <v>0</v>
      </c>
      <c r="F195" s="21" t="str">
        <f t="shared" si="24"/>
        <v/>
      </c>
      <c r="G195" s="24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25"/>
      <c r="AO195" s="25"/>
    </row>
    <row r="196" spans="2:41" x14ac:dyDescent="0.2">
      <c r="B196" s="22" t="str">
        <f>'Wzorzec kategorii'!B158</f>
        <v>Pożyczka osobista</v>
      </c>
      <c r="C196" s="19">
        <v>0</v>
      </c>
      <c r="D196" s="20">
        <f>SUM(Tabela2851313[#This Row])</f>
        <v>0</v>
      </c>
      <c r="E196" s="20">
        <f t="shared" si="23"/>
        <v>0</v>
      </c>
      <c r="F196" s="21" t="str">
        <f t="shared" si="24"/>
        <v/>
      </c>
      <c r="G196" s="24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25"/>
      <c r="AO196" s="25"/>
    </row>
    <row r="197" spans="2:41" x14ac:dyDescent="0.2">
      <c r="B197" s="22" t="str">
        <f>'Wzorzec kategorii'!B159</f>
        <v>Inne</v>
      </c>
      <c r="C197" s="19">
        <v>0</v>
      </c>
      <c r="D197" s="20">
        <f>SUM(Tabela2851313[#This Row])</f>
        <v>0</v>
      </c>
      <c r="E197" s="20">
        <f t="shared" si="23"/>
        <v>0</v>
      </c>
      <c r="F197" s="21" t="str">
        <f t="shared" si="24"/>
        <v/>
      </c>
      <c r="G197" s="24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25"/>
      <c r="AO197" s="25"/>
    </row>
    <row r="198" spans="2:41" x14ac:dyDescent="0.2">
      <c r="B198" s="22" t="str">
        <f>'Wzorzec kategorii'!B160</f>
        <v>.</v>
      </c>
      <c r="C198" s="19">
        <v>0</v>
      </c>
      <c r="D198" s="20">
        <f>SUM(Tabela2851313[#This Row])</f>
        <v>0</v>
      </c>
      <c r="E198" s="20">
        <f t="shared" si="23"/>
        <v>0</v>
      </c>
      <c r="F198" s="21" t="str">
        <f t="shared" si="24"/>
        <v/>
      </c>
      <c r="G198" s="24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25"/>
      <c r="AO198" s="25"/>
    </row>
    <row r="199" spans="2:41" x14ac:dyDescent="0.2">
      <c r="B199" s="22" t="str">
        <f>'Wzorzec kategorii'!B161</f>
        <v>.</v>
      </c>
      <c r="C199" s="19">
        <v>0</v>
      </c>
      <c r="D199" s="20">
        <f>SUM(Tabela2851313[#This Row])</f>
        <v>0</v>
      </c>
      <c r="E199" s="20">
        <f t="shared" si="23"/>
        <v>0</v>
      </c>
      <c r="F199" s="21" t="str">
        <f t="shared" si="24"/>
        <v/>
      </c>
      <c r="G199" s="24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25"/>
      <c r="AO199" s="25"/>
    </row>
    <row r="200" spans="2:41" x14ac:dyDescent="0.2">
      <c r="B200" s="22" t="str">
        <f>'Wzorzec kategorii'!B162</f>
        <v>.</v>
      </c>
      <c r="C200" s="19">
        <v>0</v>
      </c>
      <c r="D200" s="20">
        <f>SUM(Tabela2851313[#This Row])</f>
        <v>0</v>
      </c>
      <c r="E200" s="20">
        <f t="shared" si="23"/>
        <v>0</v>
      </c>
      <c r="F200" s="53" t="str">
        <f t="shared" si="24"/>
        <v/>
      </c>
      <c r="G200" s="54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25"/>
      <c r="AO200" s="25"/>
    </row>
    <row r="201" spans="2:41" x14ac:dyDescent="0.2">
      <c r="B201" s="22" t="str">
        <f>'Wzorzec kategorii'!B163</f>
        <v>.</v>
      </c>
      <c r="C201" s="19">
        <v>0</v>
      </c>
      <c r="D201" s="20">
        <f>SUM(Tabela2851313[#This Row])</f>
        <v>0</v>
      </c>
      <c r="E201" s="20">
        <f t="shared" si="23"/>
        <v>0</v>
      </c>
      <c r="F201" s="53" t="str">
        <f t="shared" si="24"/>
        <v/>
      </c>
      <c r="G201" s="54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25"/>
      <c r="AO201" s="25"/>
    </row>
    <row r="202" spans="2:41" x14ac:dyDescent="0.2">
      <c r="B202" s="22" t="str">
        <f>'Wzorzec kategorii'!B164</f>
        <v>.</v>
      </c>
      <c r="C202" s="19">
        <v>0</v>
      </c>
      <c r="D202" s="20">
        <f>SUM(Tabela2851313[#This Row])</f>
        <v>0</v>
      </c>
      <c r="E202" s="20">
        <f t="shared" si="23"/>
        <v>0</v>
      </c>
      <c r="F202" s="53" t="str">
        <f t="shared" si="24"/>
        <v/>
      </c>
      <c r="G202" s="54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25"/>
      <c r="AO202" s="25"/>
    </row>
    <row r="203" spans="2:41" x14ac:dyDescent="0.2">
      <c r="B203" s="22" t="str">
        <f>'Wzorzec kategorii'!B165</f>
        <v>.</v>
      </c>
      <c r="C203" s="19">
        <v>0</v>
      </c>
      <c r="D203" s="20">
        <f>SUM(Tabela2851313[#This Row])</f>
        <v>0</v>
      </c>
      <c r="E203" s="20">
        <f t="shared" si="23"/>
        <v>0</v>
      </c>
      <c r="F203" s="53" t="str">
        <f t="shared" si="24"/>
        <v/>
      </c>
      <c r="G203" s="54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25"/>
      <c r="AO203" s="25"/>
    </row>
    <row r="204" spans="2:41" x14ac:dyDescent="0.2">
      <c r="B204" s="5" t="s">
        <v>30</v>
      </c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</row>
    <row r="205" spans="2:41" x14ac:dyDescent="0.2">
      <c r="B205" s="2" t="str">
        <f>'Wzorzec kategorii'!B167</f>
        <v>Budowanie oszczędności</v>
      </c>
      <c r="C205" s="3">
        <f>SUM(Tabela1640302[[#All],[Kolumna2]])</f>
        <v>0</v>
      </c>
      <c r="D205" s="16">
        <f>SUM(Tabela1640302[[#All],[Kolumna3]])</f>
        <v>0</v>
      </c>
      <c r="E205" s="3">
        <f>C205-D205</f>
        <v>0</v>
      </c>
      <c r="F205" s="17" t="str">
        <f>IFERROR(D205/C205,"")</f>
        <v/>
      </c>
      <c r="G205" s="3"/>
      <c r="I205" s="11" t="s">
        <v>44</v>
      </c>
      <c r="J205" s="11" t="s">
        <v>45</v>
      </c>
      <c r="K205" s="11" t="s">
        <v>46</v>
      </c>
      <c r="L205" s="11" t="s">
        <v>47</v>
      </c>
      <c r="M205" s="11" t="s">
        <v>48</v>
      </c>
      <c r="N205" s="11" t="s">
        <v>49</v>
      </c>
      <c r="O205" s="11" t="s">
        <v>50</v>
      </c>
      <c r="P205" s="11" t="s">
        <v>51</v>
      </c>
      <c r="Q205" s="11" t="s">
        <v>52</v>
      </c>
      <c r="R205" s="11" t="s">
        <v>53</v>
      </c>
      <c r="S205" s="11" t="s">
        <v>54</v>
      </c>
      <c r="T205" s="11" t="s">
        <v>55</v>
      </c>
      <c r="U205" s="11" t="s">
        <v>56</v>
      </c>
      <c r="V205" s="11" t="s">
        <v>57</v>
      </c>
      <c r="W205" s="11" t="s">
        <v>58</v>
      </c>
      <c r="X205" s="11" t="s">
        <v>59</v>
      </c>
      <c r="Y205" s="11" t="s">
        <v>60</v>
      </c>
      <c r="Z205" s="11" t="s">
        <v>61</v>
      </c>
      <c r="AA205" s="11" t="s">
        <v>62</v>
      </c>
      <c r="AB205" s="11" t="s">
        <v>63</v>
      </c>
      <c r="AC205" s="11" t="s">
        <v>64</v>
      </c>
      <c r="AD205" s="11" t="s">
        <v>65</v>
      </c>
      <c r="AE205" s="11" t="s">
        <v>66</v>
      </c>
      <c r="AF205" s="11" t="s">
        <v>67</v>
      </c>
      <c r="AG205" s="11" t="s">
        <v>68</v>
      </c>
      <c r="AH205" s="11" t="s">
        <v>69</v>
      </c>
      <c r="AI205" s="11" t="s">
        <v>70</v>
      </c>
      <c r="AJ205" s="11" t="s">
        <v>71</v>
      </c>
      <c r="AK205" s="11" t="s">
        <v>72</v>
      </c>
      <c r="AL205" s="11" t="s">
        <v>73</v>
      </c>
      <c r="AM205" s="11" t="s">
        <v>74</v>
      </c>
      <c r="AN205" s="25"/>
      <c r="AO205" s="25"/>
    </row>
    <row r="206" spans="2:41" x14ac:dyDescent="0.2">
      <c r="B206" s="22" t="str">
        <f>'Wzorzec kategorii'!B168</f>
        <v>Fundusz awaryjny</v>
      </c>
      <c r="C206" s="19">
        <v>0</v>
      </c>
      <c r="D206" s="20">
        <f>SUM(Tabela192345307[#This Row])</f>
        <v>0</v>
      </c>
      <c r="E206" s="20">
        <f t="shared" ref="E206:E215" si="25">C206-D206</f>
        <v>0</v>
      </c>
      <c r="F206" s="21" t="str">
        <f t="shared" ref="F206:F215" si="26">IFERROR(D206/C206,"")</f>
        <v/>
      </c>
      <c r="G206" s="24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25"/>
      <c r="AO206" s="25"/>
    </row>
    <row r="207" spans="2:41" ht="30" x14ac:dyDescent="0.2">
      <c r="B207" s="22" t="str">
        <f>'Wzorzec kategorii'!B169</f>
        <v>Fundusz wydatków nieregularnych</v>
      </c>
      <c r="C207" s="19">
        <v>0</v>
      </c>
      <c r="D207" s="20">
        <f>SUM(Tabela192345307[#This Row])</f>
        <v>0</v>
      </c>
      <c r="E207" s="20">
        <f t="shared" si="25"/>
        <v>0</v>
      </c>
      <c r="F207" s="21" t="str">
        <f t="shared" si="26"/>
        <v/>
      </c>
      <c r="G207" s="24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25"/>
      <c r="AO207" s="25"/>
    </row>
    <row r="208" spans="2:41" x14ac:dyDescent="0.2">
      <c r="B208" s="22" t="str">
        <f>'Wzorzec kategorii'!B170</f>
        <v>Poduszka finansowa</v>
      </c>
      <c r="C208" s="19">
        <v>0</v>
      </c>
      <c r="D208" s="20">
        <f>SUM(Tabela192345307[#This Row])</f>
        <v>0</v>
      </c>
      <c r="E208" s="20">
        <f t="shared" si="25"/>
        <v>0</v>
      </c>
      <c r="F208" s="21" t="str">
        <f t="shared" si="26"/>
        <v/>
      </c>
      <c r="G208" s="24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25"/>
      <c r="AO208" s="25"/>
    </row>
    <row r="209" spans="2:41" x14ac:dyDescent="0.2">
      <c r="B209" s="22" t="str">
        <f>'Wzorzec kategorii'!B171</f>
        <v>Konto emerytalne IKE/IKZE</v>
      </c>
      <c r="C209" s="19">
        <v>0</v>
      </c>
      <c r="D209" s="20">
        <f>SUM(Tabela192345307[#This Row])</f>
        <v>0</v>
      </c>
      <c r="E209" s="20">
        <f t="shared" si="25"/>
        <v>0</v>
      </c>
      <c r="F209" s="21" t="str">
        <f t="shared" si="26"/>
        <v/>
      </c>
      <c r="G209" s="24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25"/>
      <c r="AO209" s="25"/>
    </row>
    <row r="210" spans="2:41" x14ac:dyDescent="0.2">
      <c r="B210" s="22" t="str">
        <f>'Wzorzec kategorii'!B172</f>
        <v>Nadpłata długów</v>
      </c>
      <c r="C210" s="19">
        <v>0</v>
      </c>
      <c r="D210" s="20">
        <f>SUM(Tabela192345307[#This Row])</f>
        <v>0</v>
      </c>
      <c r="E210" s="20">
        <f t="shared" si="25"/>
        <v>0</v>
      </c>
      <c r="F210" s="21" t="str">
        <f t="shared" si="26"/>
        <v/>
      </c>
      <c r="G210" s="24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25"/>
      <c r="AO210" s="25"/>
    </row>
    <row r="211" spans="2:41" x14ac:dyDescent="0.2">
      <c r="B211" s="22" t="str">
        <f>'Wzorzec kategorii'!B173</f>
        <v>Fundusz: wakacje</v>
      </c>
      <c r="C211" s="19">
        <v>0</v>
      </c>
      <c r="D211" s="20">
        <f>SUM(Tabela192345307[#This Row])</f>
        <v>0</v>
      </c>
      <c r="E211" s="20">
        <f t="shared" si="25"/>
        <v>0</v>
      </c>
      <c r="F211" s="21" t="str">
        <f t="shared" si="26"/>
        <v/>
      </c>
      <c r="G211" s="24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25"/>
      <c r="AO211" s="25"/>
    </row>
    <row r="212" spans="2:41" x14ac:dyDescent="0.2">
      <c r="B212" s="22" t="str">
        <f>'Wzorzec kategorii'!B174</f>
        <v>Fundusz: prezenty świąteczne</v>
      </c>
      <c r="C212" s="19">
        <v>0</v>
      </c>
      <c r="D212" s="20">
        <f>SUM(Tabela192345307[#This Row])</f>
        <v>0</v>
      </c>
      <c r="E212" s="20">
        <f t="shared" si="25"/>
        <v>0</v>
      </c>
      <c r="F212" s="21" t="str">
        <f t="shared" si="26"/>
        <v/>
      </c>
      <c r="G212" s="24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25"/>
      <c r="AO212" s="25"/>
    </row>
    <row r="213" spans="2:41" x14ac:dyDescent="0.2">
      <c r="B213" s="22" t="str">
        <f>'Wzorzec kategorii'!B175</f>
        <v>Inne</v>
      </c>
      <c r="C213" s="19">
        <v>0</v>
      </c>
      <c r="D213" s="20">
        <f>SUM(Tabela192345307[#This Row])</f>
        <v>0</v>
      </c>
      <c r="E213" s="20">
        <f t="shared" si="25"/>
        <v>0</v>
      </c>
      <c r="F213" s="21" t="str">
        <f t="shared" si="26"/>
        <v/>
      </c>
      <c r="G213" s="24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25"/>
      <c r="AO213" s="25"/>
    </row>
    <row r="214" spans="2:41" x14ac:dyDescent="0.2">
      <c r="B214" s="22" t="str">
        <f>'Wzorzec kategorii'!B176</f>
        <v>.</v>
      </c>
      <c r="C214" s="19">
        <v>0</v>
      </c>
      <c r="D214" s="20">
        <f>SUM(Tabela192345307[#This Row])</f>
        <v>0</v>
      </c>
      <c r="E214" s="20">
        <f t="shared" si="25"/>
        <v>0</v>
      </c>
      <c r="F214" s="53" t="str">
        <f t="shared" si="26"/>
        <v/>
      </c>
      <c r="G214" s="54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25"/>
      <c r="AO214" s="25"/>
    </row>
    <row r="215" spans="2:41" x14ac:dyDescent="0.2">
      <c r="B215" s="22" t="str">
        <f>'Wzorzec kategorii'!B177</f>
        <v>.</v>
      </c>
      <c r="C215" s="19">
        <v>0</v>
      </c>
      <c r="D215" s="20">
        <f>SUM(Tabela192345307[#This Row])</f>
        <v>0</v>
      </c>
      <c r="E215" s="20">
        <f t="shared" si="25"/>
        <v>0</v>
      </c>
      <c r="F215" s="53" t="str">
        <f t="shared" si="26"/>
        <v/>
      </c>
      <c r="G215" s="54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25"/>
      <c r="AO215" s="25"/>
    </row>
    <row r="216" spans="2:41" x14ac:dyDescent="0.2"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</row>
    <row r="217" spans="2:41" x14ac:dyDescent="0.2">
      <c r="B217" s="2" t="str">
        <f>'Wzorzec kategorii'!B179</f>
        <v>INNE 1</v>
      </c>
      <c r="C217" s="3">
        <f>SUM(Tabela164058314[[#All],[Kolumna2]])</f>
        <v>0</v>
      </c>
      <c r="D217" s="16">
        <f>SUM(Tabela164058314[[#All],[Kolumna3]])</f>
        <v>0</v>
      </c>
      <c r="E217" s="3">
        <f>C217-D217</f>
        <v>0</v>
      </c>
      <c r="F217" s="17" t="str">
        <f>IFERROR(D217/C217,"")</f>
        <v/>
      </c>
      <c r="G217" s="3"/>
      <c r="I217" s="11" t="s">
        <v>44</v>
      </c>
      <c r="J217" s="11" t="s">
        <v>45</v>
      </c>
      <c r="K217" s="11" t="s">
        <v>46</v>
      </c>
      <c r="L217" s="11" t="s">
        <v>47</v>
      </c>
      <c r="M217" s="11" t="s">
        <v>48</v>
      </c>
      <c r="N217" s="11" t="s">
        <v>49</v>
      </c>
      <c r="O217" s="11" t="s">
        <v>50</v>
      </c>
      <c r="P217" s="11" t="s">
        <v>51</v>
      </c>
      <c r="Q217" s="11" t="s">
        <v>52</v>
      </c>
      <c r="R217" s="11" t="s">
        <v>53</v>
      </c>
      <c r="S217" s="11" t="s">
        <v>54</v>
      </c>
      <c r="T217" s="11" t="s">
        <v>55</v>
      </c>
      <c r="U217" s="11" t="s">
        <v>56</v>
      </c>
      <c r="V217" s="11" t="s">
        <v>57</v>
      </c>
      <c r="W217" s="11" t="s">
        <v>58</v>
      </c>
      <c r="X217" s="11" t="s">
        <v>59</v>
      </c>
      <c r="Y217" s="11" t="s">
        <v>60</v>
      </c>
      <c r="Z217" s="11" t="s">
        <v>61</v>
      </c>
      <c r="AA217" s="11" t="s">
        <v>62</v>
      </c>
      <c r="AB217" s="11" t="s">
        <v>63</v>
      </c>
      <c r="AC217" s="11" t="s">
        <v>64</v>
      </c>
      <c r="AD217" s="11" t="s">
        <v>65</v>
      </c>
      <c r="AE217" s="11" t="s">
        <v>66</v>
      </c>
      <c r="AF217" s="11" t="s">
        <v>67</v>
      </c>
      <c r="AG217" s="11" t="s">
        <v>68</v>
      </c>
      <c r="AH217" s="11" t="s">
        <v>69</v>
      </c>
      <c r="AI217" s="11" t="s">
        <v>70</v>
      </c>
      <c r="AJ217" s="11" t="s">
        <v>71</v>
      </c>
      <c r="AK217" s="11" t="s">
        <v>72</v>
      </c>
      <c r="AL217" s="11" t="s">
        <v>73</v>
      </c>
      <c r="AM217" s="11" t="s">
        <v>74</v>
      </c>
    </row>
    <row r="218" spans="2:41" x14ac:dyDescent="0.2">
      <c r="B218" s="22" t="str">
        <f>'Wzorzec kategorii'!B180</f>
        <v>.</v>
      </c>
      <c r="C218" s="19">
        <v>0</v>
      </c>
      <c r="D218" s="20">
        <f>SUM(Tabela19234559315[#This Row])</f>
        <v>0</v>
      </c>
      <c r="E218" s="20">
        <f t="shared" ref="E218:E227" si="27">C218-D218</f>
        <v>0</v>
      </c>
      <c r="F218" s="21" t="str">
        <f t="shared" ref="F218:F227" si="28">IFERROR(D218/C218,"")</f>
        <v/>
      </c>
      <c r="G218" s="24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2:41" x14ac:dyDescent="0.2">
      <c r="B219" s="22" t="str">
        <f>'Wzorzec kategorii'!B181</f>
        <v>.</v>
      </c>
      <c r="C219" s="19">
        <v>0</v>
      </c>
      <c r="D219" s="20">
        <f>SUM(Tabela19234559315[#This Row])</f>
        <v>0</v>
      </c>
      <c r="E219" s="20">
        <f t="shared" si="27"/>
        <v>0</v>
      </c>
      <c r="F219" s="21" t="str">
        <f t="shared" si="28"/>
        <v/>
      </c>
      <c r="G219" s="24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 spans="2:41" x14ac:dyDescent="0.2">
      <c r="B220" s="22" t="str">
        <f>'Wzorzec kategorii'!B182</f>
        <v>.</v>
      </c>
      <c r="C220" s="19">
        <v>0</v>
      </c>
      <c r="D220" s="20">
        <f>SUM(Tabela19234559315[#This Row])</f>
        <v>0</v>
      </c>
      <c r="E220" s="20">
        <f t="shared" si="27"/>
        <v>0</v>
      </c>
      <c r="F220" s="21" t="str">
        <f t="shared" si="28"/>
        <v/>
      </c>
      <c r="G220" s="24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 spans="2:41" x14ac:dyDescent="0.2">
      <c r="B221" s="22" t="str">
        <f>'Wzorzec kategorii'!B183</f>
        <v>.</v>
      </c>
      <c r="C221" s="19">
        <v>0</v>
      </c>
      <c r="D221" s="20">
        <f>SUM(Tabela19234559315[#This Row])</f>
        <v>0</v>
      </c>
      <c r="E221" s="20">
        <f t="shared" si="27"/>
        <v>0</v>
      </c>
      <c r="F221" s="21" t="str">
        <f t="shared" si="28"/>
        <v/>
      </c>
      <c r="G221" s="24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 spans="2:41" x14ac:dyDescent="0.2">
      <c r="B222" s="22" t="str">
        <f>'Wzorzec kategorii'!B184</f>
        <v>.</v>
      </c>
      <c r="C222" s="19">
        <v>0</v>
      </c>
      <c r="D222" s="20">
        <f>SUM(Tabela19234559315[#This Row])</f>
        <v>0</v>
      </c>
      <c r="E222" s="20">
        <f t="shared" si="27"/>
        <v>0</v>
      </c>
      <c r="F222" s="21" t="str">
        <f t="shared" si="28"/>
        <v/>
      </c>
      <c r="G222" s="24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</row>
    <row r="223" spans="2:41" x14ac:dyDescent="0.2">
      <c r="B223" s="22" t="str">
        <f>'Wzorzec kategorii'!B185</f>
        <v>.</v>
      </c>
      <c r="C223" s="19">
        <v>0</v>
      </c>
      <c r="D223" s="20">
        <f>SUM(Tabela19234559315[#This Row])</f>
        <v>0</v>
      </c>
      <c r="E223" s="20">
        <f t="shared" si="27"/>
        <v>0</v>
      </c>
      <c r="F223" s="21" t="str">
        <f t="shared" si="28"/>
        <v/>
      </c>
      <c r="G223" s="24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</row>
    <row r="224" spans="2:41" x14ac:dyDescent="0.2">
      <c r="B224" s="22" t="str">
        <f>'Wzorzec kategorii'!B186</f>
        <v>.</v>
      </c>
      <c r="C224" s="19">
        <v>0</v>
      </c>
      <c r="D224" s="20">
        <f>SUM(Tabela19234559315[#This Row])</f>
        <v>0</v>
      </c>
      <c r="E224" s="20">
        <f t="shared" si="27"/>
        <v>0</v>
      </c>
      <c r="F224" s="21" t="str">
        <f t="shared" si="28"/>
        <v/>
      </c>
      <c r="G224" s="24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2:39" x14ac:dyDescent="0.2">
      <c r="B225" s="22" t="str">
        <f>'Wzorzec kategorii'!B187</f>
        <v>.</v>
      </c>
      <c r="C225" s="19">
        <v>0</v>
      </c>
      <c r="D225" s="20">
        <f>SUM(Tabela19234559315[#This Row])</f>
        <v>0</v>
      </c>
      <c r="E225" s="20">
        <f t="shared" si="27"/>
        <v>0</v>
      </c>
      <c r="F225" s="21" t="str">
        <f t="shared" si="28"/>
        <v/>
      </c>
      <c r="G225" s="24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 spans="2:39" x14ac:dyDescent="0.2">
      <c r="B226" s="22" t="str">
        <f>'Wzorzec kategorii'!B188</f>
        <v>.</v>
      </c>
      <c r="C226" s="19">
        <v>0</v>
      </c>
      <c r="D226" s="20">
        <f>SUM(Tabela19234559315[#This Row])</f>
        <v>0</v>
      </c>
      <c r="E226" s="20">
        <f t="shared" si="27"/>
        <v>0</v>
      </c>
      <c r="F226" s="53" t="str">
        <f t="shared" si="28"/>
        <v/>
      </c>
      <c r="G226" s="54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</row>
    <row r="227" spans="2:39" x14ac:dyDescent="0.2">
      <c r="B227" s="22" t="str">
        <f>'Wzorzec kategorii'!B189</f>
        <v>.</v>
      </c>
      <c r="C227" s="19">
        <v>0</v>
      </c>
      <c r="D227" s="20">
        <f>SUM(Tabela19234559315[#This Row])</f>
        <v>0</v>
      </c>
      <c r="E227" s="20">
        <f t="shared" si="27"/>
        <v>0</v>
      </c>
      <c r="F227" s="53" t="str">
        <f t="shared" si="28"/>
        <v/>
      </c>
      <c r="G227" s="54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</row>
    <row r="228" spans="2:39" x14ac:dyDescent="0.2"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</row>
    <row r="229" spans="2:39" x14ac:dyDescent="0.2">
      <c r="B229" s="2" t="str">
        <f>'Wzorzec kategorii'!B191</f>
        <v>INNE 2</v>
      </c>
      <c r="C229" s="3">
        <f>SUM(Tabela16405860316[[#All],[Kolumna2]])</f>
        <v>0</v>
      </c>
      <c r="D229" s="16">
        <f>SUM(Tabela16405860316[[#All],[Kolumna3]])</f>
        <v>0</v>
      </c>
      <c r="E229" s="3">
        <f>C229-D229</f>
        <v>0</v>
      </c>
      <c r="F229" s="17" t="str">
        <f>IFERROR(D229/C229,"")</f>
        <v/>
      </c>
      <c r="G229" s="3"/>
      <c r="I229" s="11" t="s">
        <v>44</v>
      </c>
      <c r="J229" s="11" t="s">
        <v>45</v>
      </c>
      <c r="K229" s="11" t="s">
        <v>46</v>
      </c>
      <c r="L229" s="11" t="s">
        <v>47</v>
      </c>
      <c r="M229" s="11" t="s">
        <v>48</v>
      </c>
      <c r="N229" s="11" t="s">
        <v>49</v>
      </c>
      <c r="O229" s="11" t="s">
        <v>50</v>
      </c>
      <c r="P229" s="11" t="s">
        <v>51</v>
      </c>
      <c r="Q229" s="11" t="s">
        <v>52</v>
      </c>
      <c r="R229" s="11" t="s">
        <v>53</v>
      </c>
      <c r="S229" s="11" t="s">
        <v>54</v>
      </c>
      <c r="T229" s="11" t="s">
        <v>55</v>
      </c>
      <c r="U229" s="11" t="s">
        <v>56</v>
      </c>
      <c r="V229" s="11" t="s">
        <v>57</v>
      </c>
      <c r="W229" s="11" t="s">
        <v>58</v>
      </c>
      <c r="X229" s="11" t="s">
        <v>59</v>
      </c>
      <c r="Y229" s="11" t="s">
        <v>60</v>
      </c>
      <c r="Z229" s="11" t="s">
        <v>61</v>
      </c>
      <c r="AA229" s="11" t="s">
        <v>62</v>
      </c>
      <c r="AB229" s="11" t="s">
        <v>63</v>
      </c>
      <c r="AC229" s="11" t="s">
        <v>64</v>
      </c>
      <c r="AD229" s="11" t="s">
        <v>65</v>
      </c>
      <c r="AE229" s="11" t="s">
        <v>66</v>
      </c>
      <c r="AF229" s="11" t="s">
        <v>67</v>
      </c>
      <c r="AG229" s="11" t="s">
        <v>68</v>
      </c>
      <c r="AH229" s="11" t="s">
        <v>69</v>
      </c>
      <c r="AI229" s="11" t="s">
        <v>70</v>
      </c>
      <c r="AJ229" s="11" t="s">
        <v>71</v>
      </c>
      <c r="AK229" s="11" t="s">
        <v>72</v>
      </c>
      <c r="AL229" s="11" t="s">
        <v>73</v>
      </c>
      <c r="AM229" s="11" t="s">
        <v>74</v>
      </c>
    </row>
    <row r="230" spans="2:39" x14ac:dyDescent="0.2">
      <c r="B230" s="22" t="str">
        <f>'Wzorzec kategorii'!B192</f>
        <v>.</v>
      </c>
      <c r="C230" s="19">
        <v>0</v>
      </c>
      <c r="D230" s="20">
        <f>SUM(Tabela1923455962318[#This Row])</f>
        <v>0</v>
      </c>
      <c r="E230" s="20">
        <f t="shared" ref="E230:E239" si="29">C230-D230</f>
        <v>0</v>
      </c>
      <c r="F230" s="21" t="str">
        <f t="shared" ref="F230:F239" si="30">IFERROR(D230/C230,"")</f>
        <v/>
      </c>
      <c r="G230" s="24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2:39" x14ac:dyDescent="0.2">
      <c r="B231" s="22" t="str">
        <f>'Wzorzec kategorii'!B193</f>
        <v>.</v>
      </c>
      <c r="C231" s="19">
        <v>0</v>
      </c>
      <c r="D231" s="20">
        <f>SUM(Tabela1923455962318[#This Row])</f>
        <v>0</v>
      </c>
      <c r="E231" s="20">
        <f t="shared" si="29"/>
        <v>0</v>
      </c>
      <c r="F231" s="21" t="str">
        <f t="shared" si="30"/>
        <v/>
      </c>
      <c r="G231" s="24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 spans="2:39" x14ac:dyDescent="0.2">
      <c r="B232" s="22" t="str">
        <f>'Wzorzec kategorii'!B194</f>
        <v>.</v>
      </c>
      <c r="C232" s="19">
        <v>0</v>
      </c>
      <c r="D232" s="20">
        <f>SUM(Tabela1923455962318[#This Row])</f>
        <v>0</v>
      </c>
      <c r="E232" s="20">
        <f t="shared" si="29"/>
        <v>0</v>
      </c>
      <c r="F232" s="21" t="str">
        <f t="shared" si="30"/>
        <v/>
      </c>
      <c r="G232" s="24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</row>
    <row r="233" spans="2:39" x14ac:dyDescent="0.2">
      <c r="B233" s="22" t="str">
        <f>'Wzorzec kategorii'!B195</f>
        <v>.</v>
      </c>
      <c r="C233" s="19">
        <v>0</v>
      </c>
      <c r="D233" s="20">
        <f>SUM(Tabela1923455962318[#This Row])</f>
        <v>0</v>
      </c>
      <c r="E233" s="20">
        <f t="shared" si="29"/>
        <v>0</v>
      </c>
      <c r="F233" s="21" t="str">
        <f t="shared" si="30"/>
        <v/>
      </c>
      <c r="G233" s="24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2:39" x14ac:dyDescent="0.2">
      <c r="B234" s="22" t="str">
        <f>'Wzorzec kategorii'!B196</f>
        <v>.</v>
      </c>
      <c r="C234" s="19">
        <v>0</v>
      </c>
      <c r="D234" s="20">
        <f>SUM(Tabela1923455962318[#This Row])</f>
        <v>0</v>
      </c>
      <c r="E234" s="20">
        <f t="shared" si="29"/>
        <v>0</v>
      </c>
      <c r="F234" s="21" t="str">
        <f t="shared" si="30"/>
        <v/>
      </c>
      <c r="G234" s="24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 spans="2:39" x14ac:dyDescent="0.2">
      <c r="B235" s="22" t="str">
        <f>'Wzorzec kategorii'!B197</f>
        <v>.</v>
      </c>
      <c r="C235" s="19">
        <v>0</v>
      </c>
      <c r="D235" s="20">
        <f>SUM(Tabela1923455962318[#This Row])</f>
        <v>0</v>
      </c>
      <c r="E235" s="20">
        <f t="shared" si="29"/>
        <v>0</v>
      </c>
      <c r="F235" s="21" t="str">
        <f t="shared" si="30"/>
        <v/>
      </c>
      <c r="G235" s="24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 spans="2:39" x14ac:dyDescent="0.2">
      <c r="B236" s="22" t="str">
        <f>'Wzorzec kategorii'!B198</f>
        <v>.</v>
      </c>
      <c r="C236" s="19">
        <v>0</v>
      </c>
      <c r="D236" s="20">
        <f>SUM(Tabela1923455962318[#This Row])</f>
        <v>0</v>
      </c>
      <c r="E236" s="20">
        <f t="shared" si="29"/>
        <v>0</v>
      </c>
      <c r="F236" s="21" t="str">
        <f t="shared" si="30"/>
        <v/>
      </c>
      <c r="G236" s="24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 spans="2:39" x14ac:dyDescent="0.2">
      <c r="B237" s="22" t="str">
        <f>'Wzorzec kategorii'!B199</f>
        <v>.</v>
      </c>
      <c r="C237" s="19">
        <v>0</v>
      </c>
      <c r="D237" s="20">
        <f>SUM(Tabela1923455962318[#This Row])</f>
        <v>0</v>
      </c>
      <c r="E237" s="20">
        <f t="shared" si="29"/>
        <v>0</v>
      </c>
      <c r="F237" s="21" t="str">
        <f t="shared" si="30"/>
        <v/>
      </c>
      <c r="G237" s="24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 spans="2:39" x14ac:dyDescent="0.2">
      <c r="B238" s="22" t="str">
        <f>'Wzorzec kategorii'!B200</f>
        <v>.</v>
      </c>
      <c r="C238" s="19">
        <v>0</v>
      </c>
      <c r="D238" s="20">
        <f>SUM(Tabela1923455962318[#This Row])</f>
        <v>0</v>
      </c>
      <c r="E238" s="20">
        <f t="shared" si="29"/>
        <v>0</v>
      </c>
      <c r="F238" s="53" t="str">
        <f t="shared" si="30"/>
        <v/>
      </c>
      <c r="G238" s="54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</row>
    <row r="239" spans="2:39" x14ac:dyDescent="0.2">
      <c r="B239" s="22" t="str">
        <f>'Wzorzec kategorii'!B201</f>
        <v>.</v>
      </c>
      <c r="C239" s="19">
        <v>0</v>
      </c>
      <c r="D239" s="20">
        <f>SUM(Tabela1923455962318[#This Row])</f>
        <v>0</v>
      </c>
      <c r="E239" s="20">
        <f t="shared" si="29"/>
        <v>0</v>
      </c>
      <c r="F239" s="53" t="str">
        <f t="shared" si="30"/>
        <v/>
      </c>
      <c r="G239" s="54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</row>
    <row r="240" spans="2:39" x14ac:dyDescent="0.2"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</row>
    <row r="241" spans="2:39" x14ac:dyDescent="0.2">
      <c r="B241" s="2" t="str">
        <f>'Wzorzec kategorii'!B203</f>
        <v>INNE 3</v>
      </c>
      <c r="C241" s="3">
        <f>SUM(Tabela1640586061317[[#All],[Kolumna2]])</f>
        <v>0</v>
      </c>
      <c r="D241" s="16">
        <f>SUM(Tabela1640586061317[[#All],[Kolumna3]])</f>
        <v>0</v>
      </c>
      <c r="E241" s="3">
        <f>C241-D241</f>
        <v>0</v>
      </c>
      <c r="F241" s="17" t="str">
        <f>IFERROR(D241/C241,"")</f>
        <v/>
      </c>
      <c r="G241" s="3"/>
      <c r="I241" s="11" t="s">
        <v>44</v>
      </c>
      <c r="J241" s="11" t="s">
        <v>45</v>
      </c>
      <c r="K241" s="11" t="s">
        <v>46</v>
      </c>
      <c r="L241" s="11" t="s">
        <v>47</v>
      </c>
      <c r="M241" s="11" t="s">
        <v>48</v>
      </c>
      <c r="N241" s="11" t="s">
        <v>49</v>
      </c>
      <c r="O241" s="11" t="s">
        <v>50</v>
      </c>
      <c r="P241" s="11" t="s">
        <v>51</v>
      </c>
      <c r="Q241" s="11" t="s">
        <v>52</v>
      </c>
      <c r="R241" s="11" t="s">
        <v>53</v>
      </c>
      <c r="S241" s="11" t="s">
        <v>54</v>
      </c>
      <c r="T241" s="11" t="s">
        <v>55</v>
      </c>
      <c r="U241" s="11" t="s">
        <v>56</v>
      </c>
      <c r="V241" s="11" t="s">
        <v>57</v>
      </c>
      <c r="W241" s="11" t="s">
        <v>58</v>
      </c>
      <c r="X241" s="11" t="s">
        <v>59</v>
      </c>
      <c r="Y241" s="11" t="s">
        <v>60</v>
      </c>
      <c r="Z241" s="11" t="s">
        <v>61</v>
      </c>
      <c r="AA241" s="11" t="s">
        <v>62</v>
      </c>
      <c r="AB241" s="11" t="s">
        <v>63</v>
      </c>
      <c r="AC241" s="11" t="s">
        <v>64</v>
      </c>
      <c r="AD241" s="11" t="s">
        <v>65</v>
      </c>
      <c r="AE241" s="11" t="s">
        <v>66</v>
      </c>
      <c r="AF241" s="11" t="s">
        <v>67</v>
      </c>
      <c r="AG241" s="11" t="s">
        <v>68</v>
      </c>
      <c r="AH241" s="11" t="s">
        <v>69</v>
      </c>
      <c r="AI241" s="11" t="s">
        <v>70</v>
      </c>
      <c r="AJ241" s="11" t="s">
        <v>71</v>
      </c>
      <c r="AK241" s="11" t="s">
        <v>72</v>
      </c>
      <c r="AL241" s="11" t="s">
        <v>73</v>
      </c>
      <c r="AM241" s="11" t="s">
        <v>74</v>
      </c>
    </row>
    <row r="242" spans="2:39" x14ac:dyDescent="0.2">
      <c r="B242" s="22" t="str">
        <f>'Wzorzec kategorii'!B204</f>
        <v>.</v>
      </c>
      <c r="C242" s="19">
        <v>0</v>
      </c>
      <c r="D242" s="20">
        <f>SUM(Tabela1923455963319[#This Row])</f>
        <v>0</v>
      </c>
      <c r="E242" s="20">
        <f t="shared" ref="E242:E251" si="31">C242-D242</f>
        <v>0</v>
      </c>
      <c r="F242" s="21" t="str">
        <f t="shared" ref="F242:F251" si="32">IFERROR(D242/C242,"")</f>
        <v/>
      </c>
      <c r="G242" s="24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2:39" x14ac:dyDescent="0.2">
      <c r="B243" s="22" t="str">
        <f>'Wzorzec kategorii'!B205</f>
        <v>.</v>
      </c>
      <c r="C243" s="19">
        <v>0</v>
      </c>
      <c r="D243" s="20">
        <f>SUM(Tabela1923455963319[#This Row])</f>
        <v>0</v>
      </c>
      <c r="E243" s="20">
        <f t="shared" si="31"/>
        <v>0</v>
      </c>
      <c r="F243" s="21" t="str">
        <f t="shared" si="32"/>
        <v/>
      </c>
      <c r="G243" s="24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 spans="2:39" x14ac:dyDescent="0.2">
      <c r="B244" s="22" t="str">
        <f>'Wzorzec kategorii'!B206</f>
        <v>.</v>
      </c>
      <c r="C244" s="19">
        <v>0</v>
      </c>
      <c r="D244" s="20">
        <f>SUM(Tabela1923455963319[#This Row])</f>
        <v>0</v>
      </c>
      <c r="E244" s="20">
        <f t="shared" si="31"/>
        <v>0</v>
      </c>
      <c r="F244" s="21" t="str">
        <f t="shared" si="32"/>
        <v/>
      </c>
      <c r="G244" s="24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 spans="2:39" x14ac:dyDescent="0.2">
      <c r="B245" s="22" t="str">
        <f>'Wzorzec kategorii'!B207</f>
        <v>.</v>
      </c>
      <c r="C245" s="19">
        <v>0</v>
      </c>
      <c r="D245" s="20">
        <f>SUM(Tabela1923455963319[#This Row])</f>
        <v>0</v>
      </c>
      <c r="E245" s="20">
        <f t="shared" si="31"/>
        <v>0</v>
      </c>
      <c r="F245" s="21" t="str">
        <f t="shared" si="32"/>
        <v/>
      </c>
      <c r="G245" s="24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2:39" x14ac:dyDescent="0.2">
      <c r="B246" s="22" t="str">
        <f>'Wzorzec kategorii'!B208</f>
        <v>.</v>
      </c>
      <c r="C246" s="19">
        <v>0</v>
      </c>
      <c r="D246" s="20">
        <f>SUM(Tabela1923455963319[#This Row])</f>
        <v>0</v>
      </c>
      <c r="E246" s="20">
        <f t="shared" si="31"/>
        <v>0</v>
      </c>
      <c r="F246" s="21" t="str">
        <f t="shared" si="32"/>
        <v/>
      </c>
      <c r="G246" s="24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 spans="2:39" x14ac:dyDescent="0.2">
      <c r="B247" s="22" t="str">
        <f>'Wzorzec kategorii'!B209</f>
        <v>.</v>
      </c>
      <c r="C247" s="19">
        <v>0</v>
      </c>
      <c r="D247" s="20">
        <f>SUM(Tabela1923455963319[#This Row])</f>
        <v>0</v>
      </c>
      <c r="E247" s="20">
        <f t="shared" si="31"/>
        <v>0</v>
      </c>
      <c r="F247" s="21" t="str">
        <f t="shared" si="32"/>
        <v/>
      </c>
      <c r="G247" s="24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</row>
    <row r="248" spans="2:39" x14ac:dyDescent="0.2">
      <c r="B248" s="22" t="str">
        <f>'Wzorzec kategorii'!B210</f>
        <v>.</v>
      </c>
      <c r="C248" s="19">
        <v>0</v>
      </c>
      <c r="D248" s="20">
        <f>SUM(Tabela1923455963319[#This Row])</f>
        <v>0</v>
      </c>
      <c r="E248" s="20">
        <f t="shared" si="31"/>
        <v>0</v>
      </c>
      <c r="F248" s="21" t="str">
        <f t="shared" si="32"/>
        <v/>
      </c>
      <c r="G248" s="24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 spans="2:39" x14ac:dyDescent="0.2">
      <c r="B249" s="22" t="str">
        <f>'Wzorzec kategorii'!B211</f>
        <v>.</v>
      </c>
      <c r="C249" s="19">
        <v>0</v>
      </c>
      <c r="D249" s="20">
        <f>SUM(Tabela1923455963319[#This Row])</f>
        <v>0</v>
      </c>
      <c r="E249" s="20">
        <f t="shared" si="31"/>
        <v>0</v>
      </c>
      <c r="F249" s="21" t="str">
        <f t="shared" si="32"/>
        <v/>
      </c>
      <c r="G249" s="24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 spans="2:39" x14ac:dyDescent="0.2">
      <c r="B250" s="22" t="str">
        <f>'Wzorzec kategorii'!B212</f>
        <v>.</v>
      </c>
      <c r="C250" s="19">
        <v>0</v>
      </c>
      <c r="D250" s="20">
        <f>SUM(Tabela1923455963319[#This Row])</f>
        <v>0</v>
      </c>
      <c r="E250" s="20">
        <f t="shared" si="31"/>
        <v>0</v>
      </c>
      <c r="F250" s="53" t="str">
        <f t="shared" si="32"/>
        <v/>
      </c>
      <c r="G250" s="54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</row>
    <row r="251" spans="2:39" x14ac:dyDescent="0.2">
      <c r="B251" s="22" t="str">
        <f>'Wzorzec kategorii'!B213</f>
        <v>.</v>
      </c>
      <c r="C251" s="19">
        <v>0</v>
      </c>
      <c r="D251" s="20">
        <f>SUM(Tabela1923455963319[#This Row])</f>
        <v>0</v>
      </c>
      <c r="E251" s="20">
        <f t="shared" si="31"/>
        <v>0</v>
      </c>
      <c r="F251" s="53" t="str">
        <f t="shared" si="32"/>
        <v/>
      </c>
      <c r="G251" s="54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</row>
    <row r="252" spans="2:39" x14ac:dyDescent="0.2"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</row>
    <row r="253" spans="2:39" ht="30" x14ac:dyDescent="0.2">
      <c r="C253" s="9" t="s">
        <v>131</v>
      </c>
      <c r="D253" s="10" t="s">
        <v>135</v>
      </c>
      <c r="E253" s="8" t="s">
        <v>129</v>
      </c>
      <c r="I253" s="9" t="s">
        <v>44</v>
      </c>
      <c r="J253" s="9" t="s">
        <v>45</v>
      </c>
      <c r="K253" s="9" t="s">
        <v>46</v>
      </c>
      <c r="L253" s="9" t="s">
        <v>47</v>
      </c>
      <c r="M253" s="9" t="s">
        <v>48</v>
      </c>
      <c r="N253" s="9" t="s">
        <v>49</v>
      </c>
      <c r="O253" s="9" t="s">
        <v>50</v>
      </c>
      <c r="P253" s="9" t="s">
        <v>51</v>
      </c>
      <c r="Q253" s="9" t="s">
        <v>52</v>
      </c>
      <c r="R253" s="9" t="s">
        <v>53</v>
      </c>
      <c r="S253" s="9" t="s">
        <v>54</v>
      </c>
      <c r="T253" s="9" t="s">
        <v>55</v>
      </c>
      <c r="U253" s="9" t="s">
        <v>56</v>
      </c>
      <c r="V253" s="9" t="s">
        <v>57</v>
      </c>
      <c r="W253" s="9" t="s">
        <v>58</v>
      </c>
      <c r="X253" s="9" t="s">
        <v>59</v>
      </c>
      <c r="Y253" s="9" t="s">
        <v>60</v>
      </c>
      <c r="Z253" s="9" t="s">
        <v>61</v>
      </c>
      <c r="AA253" s="9" t="s">
        <v>62</v>
      </c>
      <c r="AB253" s="9" t="s">
        <v>63</v>
      </c>
      <c r="AC253" s="9" t="s">
        <v>64</v>
      </c>
      <c r="AD253" s="9" t="s">
        <v>65</v>
      </c>
      <c r="AE253" s="9" t="s">
        <v>66</v>
      </c>
      <c r="AF253" s="9" t="s">
        <v>67</v>
      </c>
      <c r="AG253" s="9" t="s">
        <v>68</v>
      </c>
      <c r="AH253" s="9" t="s">
        <v>69</v>
      </c>
      <c r="AI253" s="9" t="s">
        <v>70</v>
      </c>
      <c r="AJ253" s="9" t="s">
        <v>71</v>
      </c>
      <c r="AK253" s="9" t="s">
        <v>72</v>
      </c>
      <c r="AL253" s="9" t="s">
        <v>73</v>
      </c>
      <c r="AM253" s="9" t="s">
        <v>74</v>
      </c>
    </row>
    <row r="254" spans="2:39" ht="22" customHeight="1" x14ac:dyDescent="0.2">
      <c r="B254" s="39" t="s">
        <v>31</v>
      </c>
      <c r="C254" s="40">
        <f>C71</f>
        <v>0</v>
      </c>
      <c r="D254" s="40">
        <f>D71</f>
        <v>0</v>
      </c>
      <c r="E254" s="40">
        <f>C254-D254</f>
        <v>0</v>
      </c>
      <c r="G254" s="39" t="s">
        <v>126</v>
      </c>
      <c r="I254" s="43">
        <f>SUM(I73:I251)</f>
        <v>0</v>
      </c>
      <c r="J254" s="43">
        <f>SUM(J73:J251)</f>
        <v>0</v>
      </c>
      <c r="K254" s="43">
        <f>SUM(K73:K251)</f>
        <v>0</v>
      </c>
      <c r="L254" s="43">
        <f t="shared" ref="L254:AM254" si="33">SUM(L73:L251)</f>
        <v>0</v>
      </c>
      <c r="M254" s="43">
        <f t="shared" si="33"/>
        <v>0</v>
      </c>
      <c r="N254" s="43">
        <f t="shared" si="33"/>
        <v>0</v>
      </c>
      <c r="O254" s="43">
        <f t="shared" si="33"/>
        <v>0</v>
      </c>
      <c r="P254" s="43">
        <f t="shared" si="33"/>
        <v>0</v>
      </c>
      <c r="Q254" s="43">
        <f t="shared" si="33"/>
        <v>0</v>
      </c>
      <c r="R254" s="43">
        <f t="shared" si="33"/>
        <v>0</v>
      </c>
      <c r="S254" s="43">
        <f t="shared" si="33"/>
        <v>0</v>
      </c>
      <c r="T254" s="43">
        <f t="shared" si="33"/>
        <v>0</v>
      </c>
      <c r="U254" s="43">
        <f t="shared" si="33"/>
        <v>0</v>
      </c>
      <c r="V254" s="43">
        <f t="shared" si="33"/>
        <v>0</v>
      </c>
      <c r="W254" s="43">
        <f t="shared" si="33"/>
        <v>0</v>
      </c>
      <c r="X254" s="43">
        <f t="shared" si="33"/>
        <v>0</v>
      </c>
      <c r="Y254" s="43">
        <f t="shared" si="33"/>
        <v>0</v>
      </c>
      <c r="Z254" s="43">
        <f t="shared" si="33"/>
        <v>0</v>
      </c>
      <c r="AA254" s="43">
        <f t="shared" si="33"/>
        <v>0</v>
      </c>
      <c r="AB254" s="43">
        <f t="shared" si="33"/>
        <v>0</v>
      </c>
      <c r="AC254" s="43">
        <f t="shared" si="33"/>
        <v>0</v>
      </c>
      <c r="AD254" s="43">
        <f t="shared" si="33"/>
        <v>0</v>
      </c>
      <c r="AE254" s="43">
        <f t="shared" si="33"/>
        <v>0</v>
      </c>
      <c r="AF254" s="43">
        <f t="shared" si="33"/>
        <v>0</v>
      </c>
      <c r="AG254" s="43">
        <f t="shared" si="33"/>
        <v>0</v>
      </c>
      <c r="AH254" s="43">
        <f t="shared" si="33"/>
        <v>0</v>
      </c>
      <c r="AI254" s="43">
        <f t="shared" si="33"/>
        <v>0</v>
      </c>
      <c r="AJ254" s="43">
        <f t="shared" si="33"/>
        <v>0</v>
      </c>
      <c r="AK254" s="43">
        <f t="shared" si="33"/>
        <v>0</v>
      </c>
      <c r="AL254" s="43">
        <f t="shared" si="33"/>
        <v>0</v>
      </c>
      <c r="AM254" s="43">
        <f t="shared" si="33"/>
        <v>0</v>
      </c>
    </row>
    <row r="255" spans="2:39" x14ac:dyDescent="0.2"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</row>
  </sheetData>
  <mergeCells count="27">
    <mergeCell ref="B12:C12"/>
    <mergeCell ref="B2:C2"/>
    <mergeCell ref="D2:E2"/>
    <mergeCell ref="B4:E4"/>
    <mergeCell ref="B9:C9"/>
    <mergeCell ref="B10:C10"/>
    <mergeCell ref="C32:D32"/>
    <mergeCell ref="B16:C16"/>
    <mergeCell ref="B17:C17"/>
    <mergeCell ref="B19:C19"/>
    <mergeCell ref="B21:E21"/>
    <mergeCell ref="B23:D23"/>
    <mergeCell ref="B25:E25"/>
    <mergeCell ref="C27:D27"/>
    <mergeCell ref="C28:D28"/>
    <mergeCell ref="C29:D29"/>
    <mergeCell ref="C30:D30"/>
    <mergeCell ref="C31:D31"/>
    <mergeCell ref="C39:D39"/>
    <mergeCell ref="C40:D40"/>
    <mergeCell ref="C41:D41"/>
    <mergeCell ref="C33:D33"/>
    <mergeCell ref="C34:D34"/>
    <mergeCell ref="C35:D35"/>
    <mergeCell ref="C36:D36"/>
    <mergeCell ref="C37:D37"/>
    <mergeCell ref="C38:D38"/>
  </mergeCells>
  <conditionalFormatting sqref="D73">
    <cfRule type="dataBar" priority="29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{3C5C5FCB-BD90-A046-836B-1627602520EC}</x14:id>
        </ext>
      </extLst>
    </cfRule>
  </conditionalFormatting>
  <conditionalFormatting sqref="D85">
    <cfRule type="dataBar" priority="28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{0EA069C9-F508-1F4D-BD33-1E8705F5A834}</x14:id>
        </ext>
      </extLst>
    </cfRule>
  </conditionalFormatting>
  <conditionalFormatting sqref="B23:D23">
    <cfRule type="dataBar" priority="27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{B029FE3E-2C80-984B-8090-6992F6EA80B5}</x14:id>
        </ext>
      </extLst>
    </cfRule>
  </conditionalFormatting>
  <conditionalFormatting sqref="C27:D27">
    <cfRule type="dataBar" priority="26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{1878472F-13B6-5F4B-8B44-A0BFC1FADDD0}</x14:id>
        </ext>
      </extLst>
    </cfRule>
  </conditionalFormatting>
  <conditionalFormatting sqref="D97">
    <cfRule type="dataBar" priority="25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{4608BFDF-B399-3A40-A720-A898054BB612}</x14:id>
        </ext>
      </extLst>
    </cfRule>
  </conditionalFormatting>
  <conditionalFormatting sqref="C28:D28">
    <cfRule type="dataBar" priority="24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{EF7BB79B-DAC3-4741-A227-488E733869DC}</x14:id>
        </ext>
      </extLst>
    </cfRule>
  </conditionalFormatting>
  <conditionalFormatting sqref="C29:D29">
    <cfRule type="dataBar" priority="23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{040F6B29-A407-3243-8D74-5820F9E3679B}</x14:id>
        </ext>
      </extLst>
    </cfRule>
  </conditionalFormatting>
  <conditionalFormatting sqref="C30:D30">
    <cfRule type="dataBar" priority="22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{880FA8AD-1950-C34F-A827-073B65D41D15}</x14:id>
        </ext>
      </extLst>
    </cfRule>
  </conditionalFormatting>
  <conditionalFormatting sqref="C31:D31">
    <cfRule type="dataBar" priority="21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{8B6A360E-31AC-5F49-8081-AFBE392AC33C}</x14:id>
        </ext>
      </extLst>
    </cfRule>
  </conditionalFormatting>
  <conditionalFormatting sqref="C32:D32">
    <cfRule type="dataBar" priority="20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{FA7EF92B-2B88-724A-B898-6703B2E6C690}</x14:id>
        </ext>
      </extLst>
    </cfRule>
  </conditionalFormatting>
  <conditionalFormatting sqref="C33:D33">
    <cfRule type="dataBar" priority="19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{93C9C6A9-69D6-8348-BC1C-6CDF295C5C8A}</x14:id>
        </ext>
      </extLst>
    </cfRule>
  </conditionalFormatting>
  <conditionalFormatting sqref="C34:D34">
    <cfRule type="dataBar" priority="18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{EB7FBF7D-1165-614B-B5FA-271308A74BFE}</x14:id>
        </ext>
      </extLst>
    </cfRule>
  </conditionalFormatting>
  <conditionalFormatting sqref="C35:D35">
    <cfRule type="dataBar" priority="17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{1A093438-0EF1-EE49-BAEB-3C5AB1F8B12A}</x14:id>
        </ext>
      </extLst>
    </cfRule>
  </conditionalFormatting>
  <conditionalFormatting sqref="C36:D36">
    <cfRule type="dataBar" priority="16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{21503700-46B7-6944-8549-98F97AAD4F31}</x14:id>
        </ext>
      </extLst>
    </cfRule>
  </conditionalFormatting>
  <conditionalFormatting sqref="C37:D37">
    <cfRule type="dataBar" priority="15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{7AC1699C-DF4D-7641-90DC-4CEC9E3A87F4}</x14:id>
        </ext>
      </extLst>
    </cfRule>
  </conditionalFormatting>
  <conditionalFormatting sqref="C38:D41">
    <cfRule type="dataBar" priority="14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{6E2ED6A0-B3B1-344E-8835-5A48A6DAD932}</x14:id>
        </ext>
      </extLst>
    </cfRule>
  </conditionalFormatting>
  <conditionalFormatting sqref="D109">
    <cfRule type="dataBar" priority="13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{E070B1CC-45BC-5542-9F9E-C1E70DD1DDD2}</x14:id>
        </ext>
      </extLst>
    </cfRule>
  </conditionalFormatting>
  <conditionalFormatting sqref="D121">
    <cfRule type="dataBar" priority="12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{EC362F00-6B2B-6B4D-8CFC-5760E24253B2}</x14:id>
        </ext>
      </extLst>
    </cfRule>
  </conditionalFormatting>
  <conditionalFormatting sqref="D133">
    <cfRule type="dataBar" priority="11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{2E92682A-03AE-E043-8B69-09D442062293}</x14:id>
        </ext>
      </extLst>
    </cfRule>
  </conditionalFormatting>
  <conditionalFormatting sqref="D145">
    <cfRule type="dataBar" priority="10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{7422BC62-A756-5B40-A7E4-99E251F7000E}</x14:id>
        </ext>
      </extLst>
    </cfRule>
  </conditionalFormatting>
  <conditionalFormatting sqref="D157">
    <cfRule type="dataBar" priority="9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{436D186B-F761-5D44-8224-793E3E1D153D}</x14:id>
        </ext>
      </extLst>
    </cfRule>
  </conditionalFormatting>
  <conditionalFormatting sqref="D169">
    <cfRule type="dataBar" priority="8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{C0E3085A-E60C-0A47-8C18-A7D7FB0DCCC2}</x14:id>
        </ext>
      </extLst>
    </cfRule>
  </conditionalFormatting>
  <conditionalFormatting sqref="D181">
    <cfRule type="dataBar" priority="7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{D7E1A14C-A725-5547-9B68-091CBECDCF8B}</x14:id>
        </ext>
      </extLst>
    </cfRule>
  </conditionalFormatting>
  <conditionalFormatting sqref="D193">
    <cfRule type="dataBar" priority="6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{65DB89D4-47A6-2F46-8315-286BBCF2AC25}</x14:id>
        </ext>
      </extLst>
    </cfRule>
  </conditionalFormatting>
  <conditionalFormatting sqref="D205">
    <cfRule type="dataBar" priority="5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{FE2E35DD-D5D1-AE42-BE19-04AF1B135711}</x14:id>
        </ext>
      </extLst>
    </cfRule>
  </conditionalFormatting>
  <conditionalFormatting sqref="D51">
    <cfRule type="dataBar" priority="4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{D49E144F-8967-F741-B4AC-B3A306FBD7B5}</x14:id>
        </ext>
      </extLst>
    </cfRule>
  </conditionalFormatting>
  <conditionalFormatting sqref="D217">
    <cfRule type="dataBar" priority="3">
      <dataBar>
        <cfvo type="num" val="0"/>
        <cfvo type="formula" val="$C$217"/>
        <color rgb="FF92D050"/>
      </dataBar>
      <extLst>
        <ext xmlns:x14="http://schemas.microsoft.com/office/spreadsheetml/2009/9/main" uri="{B025F937-C7B1-47D3-B67F-A62EFF666E3E}">
          <x14:id>{20D2222E-A635-C141-96EB-633675B7D33E}</x14:id>
        </ext>
      </extLst>
    </cfRule>
  </conditionalFormatting>
  <conditionalFormatting sqref="D229">
    <cfRule type="dataBar" priority="2">
      <dataBar>
        <cfvo type="num" val="0"/>
        <cfvo type="formula" val="$C$229"/>
        <color rgb="FF92D050"/>
      </dataBar>
      <extLst>
        <ext xmlns:x14="http://schemas.microsoft.com/office/spreadsheetml/2009/9/main" uri="{B025F937-C7B1-47D3-B67F-A62EFF666E3E}">
          <x14:id>{E3AB3D33-E67E-764D-B69D-46EE65AE355B}</x14:id>
        </ext>
      </extLst>
    </cfRule>
  </conditionalFormatting>
  <conditionalFormatting sqref="D241">
    <cfRule type="dataBar" priority="1">
      <dataBar>
        <cfvo type="num" val="0"/>
        <cfvo type="formula" val="$C$241"/>
        <color rgb="FF92D050"/>
      </dataBar>
      <extLst>
        <ext xmlns:x14="http://schemas.microsoft.com/office/spreadsheetml/2009/9/main" uri="{B025F937-C7B1-47D3-B67F-A62EFF666E3E}">
          <x14:id>{425E057A-77D5-CE49-84DC-882C93D4A001}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5C5FCB-BD90-A046-836B-1627602520EC}">
            <x14:dataBar minLength="0" maxLength="100" gradient="0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0EA069C9-F508-1F4D-BD33-1E8705F5A834}">
            <x14:dataBar minLength="0" maxLength="100" gradient="0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B029FE3E-2C80-984B-8090-6992F6EA80B5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1878472F-13B6-5F4B-8B44-A0BFC1FADDD0}">
            <x14:dataBar minLength="0" maxLength="100" gradient="0" direction="leftToRight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4608BFDF-B399-3A40-A720-A898054BB612}">
            <x14:dataBar minLength="0" maxLength="100" gradient="0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EF7BB79B-DAC3-4741-A227-488E733869DC}">
            <x14:dataBar minLength="0" maxLength="100" gradient="0" direction="leftToRight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040F6B29-A407-3243-8D74-5820F9E3679B}">
            <x14:dataBar minLength="0" maxLength="100" gradient="0" direction="leftToRight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880FA8AD-1950-C34F-A827-073B65D41D15}">
            <x14:dataBar minLength="0" maxLength="100" gradient="0" direction="leftToRight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8B6A360E-31AC-5F49-8081-AFBE392AC33C}">
            <x14:dataBar minLength="0" maxLength="100" gradient="0" direction="leftToRight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FA7EF92B-2B88-724A-B898-6703B2E6C690}">
            <x14:dataBar minLength="0" maxLength="100" gradient="0" direction="leftToRight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93C9C6A9-69D6-8348-BC1C-6CDF295C5C8A}">
            <x14:dataBar minLength="0" maxLength="100" gradient="0" direction="leftToRight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EB7FBF7D-1165-614B-B5FA-271308A74BFE}">
            <x14:dataBar minLength="0" maxLength="100" gradient="0" direction="leftToRight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1A093438-0EF1-EE49-BAEB-3C5AB1F8B12A}">
            <x14:dataBar minLength="0" maxLength="100" gradient="0" direction="leftToRight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21503700-46B7-6944-8549-98F97AAD4F31}">
            <x14:dataBar minLength="0" maxLength="100" gradient="0" direction="leftToRight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7AC1699C-DF4D-7641-90DC-4CEC9E3A87F4}">
            <x14:dataBar minLength="0" maxLength="100" gradient="0" direction="leftToRight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6E2ED6A0-B3B1-344E-8835-5A48A6DAD932}">
            <x14:dataBar minLength="0" maxLength="100" gradient="0" direction="leftToRight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C38:D41</xm:sqref>
        </x14:conditionalFormatting>
        <x14:conditionalFormatting xmlns:xm="http://schemas.microsoft.com/office/excel/2006/main">
          <x14:cfRule type="dataBar" id="{E070B1CC-45BC-5542-9F9E-C1E70DD1DDD2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D109</xm:sqref>
        </x14:conditionalFormatting>
        <x14:conditionalFormatting xmlns:xm="http://schemas.microsoft.com/office/excel/2006/main">
          <x14:cfRule type="dataBar" id="{EC362F00-6B2B-6B4D-8CFC-5760E24253B2}">
            <x14:dataBar minLength="0" maxLength="100" gradient="0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D121</xm:sqref>
        </x14:conditionalFormatting>
        <x14:conditionalFormatting xmlns:xm="http://schemas.microsoft.com/office/excel/2006/main">
          <x14:cfRule type="dataBar" id="{2E92682A-03AE-E043-8B69-09D442062293}">
            <x14:dataBar minLength="0" maxLength="100" gradient="0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7422BC62-A756-5B40-A7E4-99E251F7000E}">
            <x14:dataBar minLength="0" maxLength="100" gradient="0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436D186B-F761-5D44-8224-793E3E1D153D}">
            <x14:dataBar minLength="0" maxLength="100" gradient="0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C0E3085A-E60C-0A47-8C18-A7D7FB0DCCC2}">
            <x14:dataBar minLength="0" maxLength="100" gradient="0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D7E1A14C-A725-5547-9B68-091CBECDCF8B}">
            <x14:dataBar minLength="0" maxLength="100" gradient="0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65DB89D4-47A6-2F46-8315-286BBCF2AC25}">
            <x14:dataBar minLength="0" maxLength="100" gradient="0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D193</xm:sqref>
        </x14:conditionalFormatting>
        <x14:conditionalFormatting xmlns:xm="http://schemas.microsoft.com/office/excel/2006/main">
          <x14:cfRule type="dataBar" id="{FE2E35DD-D5D1-AE42-BE19-04AF1B135711}">
            <x14:dataBar minLength="0" maxLength="100" gradient="0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D205</xm:sqref>
        </x14:conditionalFormatting>
        <x14:conditionalFormatting xmlns:xm="http://schemas.microsoft.com/office/excel/2006/main">
          <x14:cfRule type="dataBar" id="{D49E144F-8967-F741-B4AC-B3A306FBD7B5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20D2222E-A635-C141-96EB-633675B7D33E}">
            <x14:dataBar minLength="0" maxLength="100" gradient="0">
              <x14:cfvo type="num">
                <xm:f>0</xm:f>
              </x14:cfvo>
              <x14:cfvo type="formula">
                <xm:f>$C$217</xm:f>
              </x14:cfvo>
              <x14:negativeFillColor rgb="FFFF0000"/>
              <x14:axisColor rgb="FF000000"/>
            </x14:dataBar>
          </x14:cfRule>
          <xm:sqref>D217</xm:sqref>
        </x14:conditionalFormatting>
        <x14:conditionalFormatting xmlns:xm="http://schemas.microsoft.com/office/excel/2006/main">
          <x14:cfRule type="dataBar" id="{E3AB3D33-E67E-764D-B69D-46EE65AE355B}">
            <x14:dataBar minLength="0" maxLength="100" gradient="0">
              <x14:cfvo type="num">
                <xm:f>0</xm:f>
              </x14:cfvo>
              <x14:cfvo type="formula">
                <xm:f>$C$229</xm:f>
              </x14:cfvo>
              <x14:negativeFillColor rgb="FFFF0000"/>
              <x14:axisColor rgb="FF000000"/>
            </x14:dataBar>
          </x14:cfRule>
          <xm:sqref>D229</xm:sqref>
        </x14:conditionalFormatting>
        <x14:conditionalFormatting xmlns:xm="http://schemas.microsoft.com/office/excel/2006/main">
          <x14:cfRule type="dataBar" id="{425E057A-77D5-CE49-84DC-882C93D4A001}">
            <x14:dataBar minLength="0" maxLength="100" gradient="0">
              <x14:cfvo type="num">
                <xm:f>0</xm:f>
              </x14:cfvo>
              <x14:cfvo type="formula">
                <xm:f>$C$241</xm:f>
              </x14:cfvo>
              <x14:negativeFillColor rgb="FFFF0000"/>
              <x14:axisColor rgb="FF000000"/>
            </x14:dataBar>
          </x14:cfRule>
          <xm:sqref>D241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 enableFormatConditionsCalculation="0"/>
  <dimension ref="B2:AO255"/>
  <sheetViews>
    <sheetView showGridLines="0" workbookViewId="0">
      <pane xSplit="8" topLeftCell="I1" activePane="topRight" state="frozen"/>
      <selection activeCell="A12" sqref="A12"/>
      <selection pane="topRight" activeCell="I2" sqref="I2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  <col min="9" max="39" width="11.33203125" customWidth="1"/>
  </cols>
  <sheetData>
    <row r="2" spans="2:7" ht="24" x14ac:dyDescent="0.3">
      <c r="B2" s="66" t="s">
        <v>130</v>
      </c>
      <c r="C2" s="66"/>
      <c r="D2" s="67" t="s">
        <v>168</v>
      </c>
      <c r="E2" s="68"/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69" t="s">
        <v>144</v>
      </c>
      <c r="C4" s="70"/>
      <c r="D4" s="70"/>
      <c r="E4" s="70"/>
    </row>
    <row r="5" spans="2:7" outlineLevel="1" x14ac:dyDescent="0.2">
      <c r="B5" s="41" t="s">
        <v>147</v>
      </c>
      <c r="C5" s="45" t="s">
        <v>148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132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62" t="s">
        <v>127</v>
      </c>
      <c r="C9" s="62"/>
      <c r="D9" s="34">
        <f>C49</f>
        <v>0</v>
      </c>
      <c r="E9" s="18"/>
    </row>
    <row r="10" spans="2:7" x14ac:dyDescent="0.2">
      <c r="B10" s="62" t="s">
        <v>131</v>
      </c>
      <c r="C10" s="62"/>
      <c r="D10" s="34">
        <f>C71</f>
        <v>0</v>
      </c>
      <c r="E10" s="18"/>
    </row>
    <row r="11" spans="2:7" x14ac:dyDescent="0.2">
      <c r="B11" s="48"/>
      <c r="C11" s="48"/>
      <c r="D11" s="31"/>
      <c r="E11" s="18"/>
    </row>
    <row r="12" spans="2:7" ht="30" customHeight="1" x14ac:dyDescent="0.2">
      <c r="B12" s="63" t="s">
        <v>133</v>
      </c>
      <c r="C12" s="63"/>
      <c r="D12" s="36">
        <f>D9-D10</f>
        <v>0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134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62" t="s">
        <v>128</v>
      </c>
      <c r="C16" s="62"/>
      <c r="D16" s="28">
        <f>D49</f>
        <v>0</v>
      </c>
      <c r="E16" s="18"/>
    </row>
    <row r="17" spans="2:5" x14ac:dyDescent="0.2">
      <c r="B17" s="62" t="s">
        <v>135</v>
      </c>
      <c r="C17" s="62"/>
      <c r="D17" s="28">
        <f>D71</f>
        <v>0</v>
      </c>
      <c r="E17" s="18"/>
    </row>
    <row r="18" spans="2:5" x14ac:dyDescent="0.2">
      <c r="B18" s="48"/>
      <c r="C18" s="48"/>
      <c r="D18" s="28"/>
      <c r="E18" s="18"/>
    </row>
    <row r="19" spans="2:5" ht="30" customHeight="1" x14ac:dyDescent="0.2">
      <c r="B19" s="63" t="s">
        <v>136</v>
      </c>
      <c r="C19" s="63"/>
      <c r="D19" s="36">
        <f>D16-D17</f>
        <v>0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64" t="s">
        <v>137</v>
      </c>
      <c r="C21" s="64"/>
      <c r="D21" s="64"/>
      <c r="E21" s="64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60">
        <f>D17</f>
        <v>0</v>
      </c>
      <c r="C23" s="65"/>
      <c r="D23" s="61"/>
      <c r="E23" s="38" t="str">
        <f>IFERROR(D17/D16,"")</f>
        <v/>
      </c>
    </row>
    <row r="24" spans="2:5" ht="18" x14ac:dyDescent="0.2">
      <c r="B24" s="29"/>
      <c r="D24" s="30"/>
      <c r="E24" s="18"/>
    </row>
    <row r="25" spans="2:5" x14ac:dyDescent="0.2">
      <c r="B25" s="64" t="s">
        <v>138</v>
      </c>
      <c r="C25" s="64"/>
      <c r="D25" s="64"/>
      <c r="E25" s="64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B73</f>
        <v>Jedzenie</v>
      </c>
      <c r="C27" s="60">
        <f>D73</f>
        <v>0</v>
      </c>
      <c r="D27" s="72"/>
      <c r="E27" s="38" t="str">
        <f>IFERROR(D73/C73,"")</f>
        <v/>
      </c>
    </row>
    <row r="28" spans="2:5" ht="18" customHeight="1" x14ac:dyDescent="0.2">
      <c r="B28" s="29" t="str">
        <f>B85</f>
        <v>Mieszkanie / dom</v>
      </c>
      <c r="C28" s="60">
        <f>D85</f>
        <v>0</v>
      </c>
      <c r="D28" s="61"/>
      <c r="E28" s="38" t="str">
        <f>IFERROR(D85/C85,"")</f>
        <v/>
      </c>
    </row>
    <row r="29" spans="2:5" ht="18" customHeight="1" x14ac:dyDescent="0.2">
      <c r="B29" s="29" t="str">
        <f>B97</f>
        <v>Transport</v>
      </c>
      <c r="C29" s="60">
        <f>D97</f>
        <v>0</v>
      </c>
      <c r="D29" s="61"/>
      <c r="E29" s="38" t="str">
        <f>IFERROR(D97/C97,"")</f>
        <v/>
      </c>
    </row>
    <row r="30" spans="2:5" ht="18" customHeight="1" x14ac:dyDescent="0.2">
      <c r="B30" s="29" t="str">
        <f>B109</f>
        <v>Telekomunikacja</v>
      </c>
      <c r="C30" s="60">
        <f>D109</f>
        <v>0</v>
      </c>
      <c r="D30" s="61"/>
      <c r="E30" s="38" t="str">
        <f>IFERROR(D109/C109,"")</f>
        <v/>
      </c>
    </row>
    <row r="31" spans="2:5" ht="18" customHeight="1" x14ac:dyDescent="0.2">
      <c r="B31" s="29" t="str">
        <f>B121</f>
        <v>Opieka zdrowotna</v>
      </c>
      <c r="C31" s="60">
        <f>D121</f>
        <v>0</v>
      </c>
      <c r="D31" s="61"/>
      <c r="E31" s="38" t="str">
        <f>IFERROR(D121/C121,"")</f>
        <v/>
      </c>
    </row>
    <row r="32" spans="2:5" ht="18" customHeight="1" x14ac:dyDescent="0.2">
      <c r="B32" s="29" t="str">
        <f>B133</f>
        <v>Ubranie</v>
      </c>
      <c r="C32" s="60">
        <f>D133</f>
        <v>0</v>
      </c>
      <c r="D32" s="61"/>
      <c r="E32" s="38" t="str">
        <f>IFERROR(D133/C133,"")</f>
        <v/>
      </c>
    </row>
    <row r="33" spans="2:9" ht="18" customHeight="1" x14ac:dyDescent="0.2">
      <c r="B33" s="29" t="str">
        <f>B145</f>
        <v>Higiena</v>
      </c>
      <c r="C33" s="60">
        <f>D145</f>
        <v>0</v>
      </c>
      <c r="D33" s="61"/>
      <c r="E33" s="38" t="str">
        <f>IFERROR(D145/C145,"")</f>
        <v/>
      </c>
    </row>
    <row r="34" spans="2:9" ht="18" customHeight="1" x14ac:dyDescent="0.2">
      <c r="B34" s="29" t="str">
        <f>B157</f>
        <v>Dzieci</v>
      </c>
      <c r="C34" s="60">
        <f>D157</f>
        <v>0</v>
      </c>
      <c r="D34" s="61"/>
      <c r="E34" s="38" t="str">
        <f>IFERROR(D157/C157,"")</f>
        <v/>
      </c>
    </row>
    <row r="35" spans="2:9" ht="18" customHeight="1" x14ac:dyDescent="0.2">
      <c r="B35" s="29" t="str">
        <f>B169</f>
        <v>Rozrywka</v>
      </c>
      <c r="C35" s="60">
        <f>D169</f>
        <v>0</v>
      </c>
      <c r="D35" s="61"/>
      <c r="E35" s="38" t="str">
        <f>IFERROR(D169/C169,"")</f>
        <v/>
      </c>
    </row>
    <row r="36" spans="2:9" ht="18" customHeight="1" x14ac:dyDescent="0.2">
      <c r="B36" s="29" t="str">
        <f>B181</f>
        <v>Inne wydatki</v>
      </c>
      <c r="C36" s="60">
        <f>D181</f>
        <v>0</v>
      </c>
      <c r="D36" s="61"/>
      <c r="E36" s="38" t="str">
        <f>IFERROR(D181/C181,"")</f>
        <v/>
      </c>
    </row>
    <row r="37" spans="2:9" ht="18" customHeight="1" x14ac:dyDescent="0.2">
      <c r="B37" s="29" t="str">
        <f>B193</f>
        <v>Spłata długów</v>
      </c>
      <c r="C37" s="60">
        <f>D193</f>
        <v>0</v>
      </c>
      <c r="D37" s="61"/>
      <c r="E37" s="38" t="str">
        <f>IFERROR(D193/C193,"")</f>
        <v/>
      </c>
    </row>
    <row r="38" spans="2:9" ht="18" customHeight="1" x14ac:dyDescent="0.2">
      <c r="B38" s="29" t="str">
        <f>B205</f>
        <v>Budowanie oszczędności</v>
      </c>
      <c r="C38" s="60">
        <f>D205</f>
        <v>0</v>
      </c>
      <c r="D38" s="61"/>
      <c r="E38" s="38" t="str">
        <f>IFERROR(D205/C205,"")</f>
        <v/>
      </c>
    </row>
    <row r="39" spans="2:9" ht="18" customHeight="1" x14ac:dyDescent="0.2">
      <c r="B39" s="29" t="str">
        <f>B217</f>
        <v>INNE 1</v>
      </c>
      <c r="C39" s="60">
        <f>D217</f>
        <v>0</v>
      </c>
      <c r="D39" s="61"/>
      <c r="E39" s="38" t="str">
        <f>IFERROR(D217/C217,"")</f>
        <v/>
      </c>
    </row>
    <row r="40" spans="2:9" ht="18" customHeight="1" x14ac:dyDescent="0.2">
      <c r="B40" s="29" t="str">
        <f>B229</f>
        <v>INNE 2</v>
      </c>
      <c r="C40" s="60">
        <f>D229</f>
        <v>0</v>
      </c>
      <c r="D40" s="72"/>
      <c r="E40" s="38" t="str">
        <f>IFERROR(D229/C229,"")</f>
        <v/>
      </c>
    </row>
    <row r="41" spans="2:9" ht="18" customHeight="1" x14ac:dyDescent="0.2">
      <c r="B41" s="29" t="str">
        <f>B241</f>
        <v>INNE 3</v>
      </c>
      <c r="C41" s="60">
        <f>D241</f>
        <v>0</v>
      </c>
      <c r="D41" s="72"/>
      <c r="E41" s="38" t="str">
        <f>IFERROR(D241/C241,"")</f>
        <v/>
      </c>
    </row>
    <row r="42" spans="2:9" ht="18" x14ac:dyDescent="0.2">
      <c r="B42" s="29"/>
      <c r="D42" s="30"/>
      <c r="E42" s="18"/>
    </row>
    <row r="43" spans="2:9" x14ac:dyDescent="0.2">
      <c r="B43" s="18"/>
      <c r="C43" s="18"/>
      <c r="D43" s="18"/>
      <c r="E43" s="18"/>
    </row>
    <row r="44" spans="2:9" ht="22" thickBot="1" x14ac:dyDescent="0.3">
      <c r="B44" s="32" t="s">
        <v>42</v>
      </c>
      <c r="C44" s="33"/>
      <c r="D44" s="33"/>
      <c r="E44" s="33"/>
      <c r="F44" s="33"/>
      <c r="G44" s="33"/>
    </row>
    <row r="46" spans="2:9" ht="21" x14ac:dyDescent="0.25">
      <c r="B46" s="44" t="s">
        <v>26</v>
      </c>
      <c r="I46" s="7" t="s">
        <v>43</v>
      </c>
    </row>
    <row r="47" spans="2:9" x14ac:dyDescent="0.2">
      <c r="B47" s="1"/>
    </row>
    <row r="48" spans="2:9" ht="30" x14ac:dyDescent="0.2">
      <c r="B48" s="8" t="s">
        <v>0</v>
      </c>
      <c r="C48" s="9" t="s">
        <v>127</v>
      </c>
      <c r="D48" s="10" t="s">
        <v>128</v>
      </c>
      <c r="E48" s="8" t="s">
        <v>129</v>
      </c>
      <c r="F48" s="9" t="s">
        <v>140</v>
      </c>
      <c r="G48" s="8" t="s">
        <v>41</v>
      </c>
      <c r="I48" s="41" t="s">
        <v>159</v>
      </c>
    </row>
    <row r="49" spans="2:39" ht="26" customHeight="1" x14ac:dyDescent="0.2">
      <c r="B49" s="39" t="s">
        <v>139</v>
      </c>
      <c r="C49" s="40">
        <f>C51</f>
        <v>0</v>
      </c>
      <c r="D49" s="40">
        <f>D51</f>
        <v>0</v>
      </c>
      <c r="E49" s="40">
        <f>D49-C49</f>
        <v>0</v>
      </c>
      <c r="F49" s="8" t="s">
        <v>141</v>
      </c>
      <c r="G49" s="8"/>
      <c r="I49" s="43">
        <f>SUM(I52:I67)</f>
        <v>0</v>
      </c>
      <c r="J49" s="43">
        <f>SUM(J52:J67)</f>
        <v>0</v>
      </c>
      <c r="K49" s="43">
        <f t="shared" ref="K49:AM49" si="0">SUM(K52:K67)</f>
        <v>0</v>
      </c>
      <c r="L49" s="43">
        <f t="shared" si="0"/>
        <v>0</v>
      </c>
      <c r="M49" s="43">
        <f t="shared" si="0"/>
        <v>0</v>
      </c>
      <c r="N49" s="43">
        <f t="shared" si="0"/>
        <v>0</v>
      </c>
      <c r="O49" s="43">
        <f t="shared" si="0"/>
        <v>0</v>
      </c>
      <c r="P49" s="43">
        <f t="shared" si="0"/>
        <v>0</v>
      </c>
      <c r="Q49" s="43">
        <f t="shared" si="0"/>
        <v>0</v>
      </c>
      <c r="R49" s="43">
        <f t="shared" si="0"/>
        <v>0</v>
      </c>
      <c r="S49" s="43">
        <f t="shared" si="0"/>
        <v>0</v>
      </c>
      <c r="T49" s="43">
        <f t="shared" si="0"/>
        <v>0</v>
      </c>
      <c r="U49" s="43">
        <f t="shared" si="0"/>
        <v>0</v>
      </c>
      <c r="V49" s="43">
        <f t="shared" si="0"/>
        <v>0</v>
      </c>
      <c r="W49" s="43">
        <f t="shared" si="0"/>
        <v>0</v>
      </c>
      <c r="X49" s="43">
        <f t="shared" si="0"/>
        <v>0</v>
      </c>
      <c r="Y49" s="43">
        <f t="shared" si="0"/>
        <v>0</v>
      </c>
      <c r="Z49" s="43">
        <f t="shared" si="0"/>
        <v>0</v>
      </c>
      <c r="AA49" s="43">
        <f t="shared" si="0"/>
        <v>0</v>
      </c>
      <c r="AB49" s="43">
        <f t="shared" si="0"/>
        <v>0</v>
      </c>
      <c r="AC49" s="43">
        <f t="shared" si="0"/>
        <v>0</v>
      </c>
      <c r="AD49" s="43">
        <f t="shared" si="0"/>
        <v>0</v>
      </c>
      <c r="AE49" s="43">
        <f t="shared" si="0"/>
        <v>0</v>
      </c>
      <c r="AF49" s="43">
        <f t="shared" si="0"/>
        <v>0</v>
      </c>
      <c r="AG49" s="43">
        <f t="shared" si="0"/>
        <v>0</v>
      </c>
      <c r="AH49" s="43">
        <f t="shared" si="0"/>
        <v>0</v>
      </c>
      <c r="AI49" s="43">
        <f t="shared" si="0"/>
        <v>0</v>
      </c>
      <c r="AJ49" s="43">
        <f t="shared" si="0"/>
        <v>0</v>
      </c>
      <c r="AK49" s="43">
        <f t="shared" si="0"/>
        <v>0</v>
      </c>
      <c r="AL49" s="43">
        <f t="shared" si="0"/>
        <v>0</v>
      </c>
      <c r="AM49" s="43">
        <f t="shared" si="0"/>
        <v>0</v>
      </c>
    </row>
    <row r="50" spans="2:39" x14ac:dyDescent="0.2">
      <c r="B50" s="1"/>
    </row>
    <row r="51" spans="2:39" x14ac:dyDescent="0.2">
      <c r="B51" s="14" t="str">
        <f>'Wzorzec kategorii'!B14</f>
        <v>Całkowite przychody</v>
      </c>
      <c r="C51" s="15">
        <f>SUM(Tabela718323[[#All],[Kolumna2]])</f>
        <v>0</v>
      </c>
      <c r="D51" s="16">
        <f>SUM(Tabela718323[[#All],[Kolumna3]])</f>
        <v>0</v>
      </c>
      <c r="E51" s="15">
        <f>D51-C51</f>
        <v>0</v>
      </c>
      <c r="F51" s="17" t="str">
        <f>IFERROR(D51/C51,"")</f>
        <v/>
      </c>
      <c r="G51" s="15"/>
      <c r="I51" s="11" t="s">
        <v>44</v>
      </c>
      <c r="J51" s="11" t="s">
        <v>45</v>
      </c>
      <c r="K51" s="11" t="s">
        <v>46</v>
      </c>
      <c r="L51" s="11" t="s">
        <v>47</v>
      </c>
      <c r="M51" s="11" t="s">
        <v>48</v>
      </c>
      <c r="N51" s="11" t="s">
        <v>49</v>
      </c>
      <c r="O51" s="11" t="s">
        <v>50</v>
      </c>
      <c r="P51" s="11" t="s">
        <v>51</v>
      </c>
      <c r="Q51" s="11" t="s">
        <v>52</v>
      </c>
      <c r="R51" s="11" t="s">
        <v>53</v>
      </c>
      <c r="S51" s="11" t="s">
        <v>54</v>
      </c>
      <c r="T51" s="11" t="s">
        <v>55</v>
      </c>
      <c r="U51" s="11" t="s">
        <v>56</v>
      </c>
      <c r="V51" s="11" t="s">
        <v>57</v>
      </c>
      <c r="W51" s="11" t="s">
        <v>58</v>
      </c>
      <c r="X51" s="11" t="s">
        <v>59</v>
      </c>
      <c r="Y51" s="11" t="s">
        <v>60</v>
      </c>
      <c r="Z51" s="11" t="s">
        <v>61</v>
      </c>
      <c r="AA51" s="11" t="s">
        <v>62</v>
      </c>
      <c r="AB51" s="11" t="s">
        <v>63</v>
      </c>
      <c r="AC51" s="11" t="s">
        <v>64</v>
      </c>
      <c r="AD51" s="11" t="s">
        <v>65</v>
      </c>
      <c r="AE51" s="11" t="s">
        <v>66</v>
      </c>
      <c r="AF51" s="11" t="s">
        <v>67</v>
      </c>
      <c r="AG51" s="11" t="s">
        <v>68</v>
      </c>
      <c r="AH51" s="11" t="s">
        <v>69</v>
      </c>
      <c r="AI51" s="11" t="s">
        <v>70</v>
      </c>
      <c r="AJ51" s="11" t="s">
        <v>71</v>
      </c>
      <c r="AK51" s="11" t="s">
        <v>72</v>
      </c>
      <c r="AL51" s="11" t="s">
        <v>73</v>
      </c>
      <c r="AM51" s="11" t="s">
        <v>74</v>
      </c>
    </row>
    <row r="52" spans="2:39" x14ac:dyDescent="0.2">
      <c r="B52" s="22" t="str">
        <f>'Wzorzec kategorii'!B15</f>
        <v>Wynagrodzenie</v>
      </c>
      <c r="C52" s="19">
        <v>0</v>
      </c>
      <c r="D52" s="47">
        <f>SUM(Tabela33064355[#This Row])</f>
        <v>0</v>
      </c>
      <c r="E52" s="20">
        <f>Tabela718323[[#This Row],[Kolumna3]]-Tabela718323[[#This Row],[Kolumna2]]</f>
        <v>0</v>
      </c>
      <c r="F52" s="21" t="str">
        <f t="shared" ref="F52:F66" si="1">IFERROR(D52/C52,"")</f>
        <v/>
      </c>
      <c r="G52" s="2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ht="30" x14ac:dyDescent="0.2">
      <c r="B53" s="22" t="str">
        <f>'Wzorzec kategorii'!B16</f>
        <v>Wynagrodzenie Partnera / Partnerki</v>
      </c>
      <c r="C53" s="19">
        <v>0</v>
      </c>
      <c r="D53" s="47">
        <f>SUM(Tabela33064355[#This Row])</f>
        <v>0</v>
      </c>
      <c r="E53" s="20">
        <f>Tabela718323[[#This Row],[Kolumna3]]-Tabela718323[[#This Row],[Kolumna2]]</f>
        <v>0</v>
      </c>
      <c r="F53" s="21" t="str">
        <f t="shared" si="1"/>
        <v/>
      </c>
      <c r="G53" s="2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x14ac:dyDescent="0.2">
      <c r="B54" s="22" t="str">
        <f>'Wzorzec kategorii'!B17</f>
        <v>Premia</v>
      </c>
      <c r="C54" s="19">
        <v>0</v>
      </c>
      <c r="D54" s="47">
        <f>SUM(Tabela33064355[#This Row])</f>
        <v>0</v>
      </c>
      <c r="E54" s="20">
        <f>Tabela718323[[#This Row],[Kolumna3]]-Tabela718323[[#This Row],[Kolumna2]]</f>
        <v>0</v>
      </c>
      <c r="F54" s="21" t="str">
        <f t="shared" si="1"/>
        <v/>
      </c>
      <c r="G54" s="2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x14ac:dyDescent="0.2">
      <c r="B55" s="22" t="str">
        <f>'Wzorzec kategorii'!B18</f>
        <v>Przychody z premii bankowych</v>
      </c>
      <c r="C55" s="19">
        <v>0</v>
      </c>
      <c r="D55" s="47">
        <f>SUM(Tabela33064355[#This Row])</f>
        <v>0</v>
      </c>
      <c r="E55" s="20">
        <f>Tabela718323[[#This Row],[Kolumna3]]-Tabela718323[[#This Row],[Kolumna2]]</f>
        <v>0</v>
      </c>
      <c r="F55" s="21" t="str">
        <f t="shared" si="1"/>
        <v/>
      </c>
      <c r="G55" s="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x14ac:dyDescent="0.2">
      <c r="B56" s="22" t="str">
        <f>'Wzorzec kategorii'!B19</f>
        <v>Odsetki bankowe</v>
      </c>
      <c r="C56" s="19">
        <v>0</v>
      </c>
      <c r="D56" s="47">
        <f>SUM(Tabela33064355[#This Row])</f>
        <v>0</v>
      </c>
      <c r="E56" s="20">
        <f>Tabela718323[[#This Row],[Kolumna3]]-Tabela718323[[#This Row],[Kolumna2]]</f>
        <v>0</v>
      </c>
      <c r="F56" s="21" t="str">
        <f t="shared" si="1"/>
        <v/>
      </c>
      <c r="G56" s="2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2:39" x14ac:dyDescent="0.2">
      <c r="B57" s="22" t="str">
        <f>'Wzorzec kategorii'!B20</f>
        <v>Sprzedaż na Allegro itp.</v>
      </c>
      <c r="C57" s="19">
        <v>0</v>
      </c>
      <c r="D57" s="47">
        <f>SUM(Tabela33064355[#This Row])</f>
        <v>0</v>
      </c>
      <c r="E57" s="20">
        <f>Tabela718323[[#This Row],[Kolumna3]]-Tabela718323[[#This Row],[Kolumna2]]</f>
        <v>0</v>
      </c>
      <c r="F57" s="21" t="str">
        <f t="shared" si="1"/>
        <v/>
      </c>
      <c r="G57" s="2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9" x14ac:dyDescent="0.2">
      <c r="B58" s="22" t="str">
        <f>'Wzorzec kategorii'!B21</f>
        <v>Inne przychody</v>
      </c>
      <c r="C58" s="19">
        <v>0</v>
      </c>
      <c r="D58" s="47">
        <f>SUM(Tabela33064355[#This Row])</f>
        <v>0</v>
      </c>
      <c r="E58" s="20">
        <f>Tabela718323[[#This Row],[Kolumna3]]-Tabela718323[[#This Row],[Kolumna2]]</f>
        <v>0</v>
      </c>
      <c r="F58" s="21" t="str">
        <f t="shared" si="1"/>
        <v/>
      </c>
      <c r="G58" s="2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2:39" x14ac:dyDescent="0.2">
      <c r="B59" s="22" t="str">
        <f>'Wzorzec kategorii'!B22</f>
        <v>.</v>
      </c>
      <c r="C59" s="19">
        <v>0</v>
      </c>
      <c r="D59" s="47">
        <f>SUM(Tabela33064355[#This Row])</f>
        <v>0</v>
      </c>
      <c r="E59" s="20">
        <f>Tabela718323[[#This Row],[Kolumna3]]-Tabela718323[[#This Row],[Kolumna2]]</f>
        <v>0</v>
      </c>
      <c r="F59" s="53" t="str">
        <f t="shared" si="1"/>
        <v/>
      </c>
      <c r="G59" s="2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2:39" x14ac:dyDescent="0.2">
      <c r="B60" s="22" t="str">
        <f>'Wzorzec kategorii'!B23</f>
        <v>.</v>
      </c>
      <c r="C60" s="19">
        <v>0</v>
      </c>
      <c r="D60" s="47">
        <f>SUM(Tabela33064355[#This Row])</f>
        <v>0</v>
      </c>
      <c r="E60" s="20">
        <f>Tabela718323[[#This Row],[Kolumna3]]-Tabela718323[[#This Row],[Kolumna2]]</f>
        <v>0</v>
      </c>
      <c r="F60" s="53" t="str">
        <f t="shared" si="1"/>
        <v/>
      </c>
      <c r="G60" s="2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2:39" x14ac:dyDescent="0.2">
      <c r="B61" s="22" t="str">
        <f>'Wzorzec kategorii'!B24</f>
        <v>.</v>
      </c>
      <c r="C61" s="19">
        <v>0</v>
      </c>
      <c r="D61" s="47">
        <f>SUM(Tabela33064355[#This Row])</f>
        <v>0</v>
      </c>
      <c r="E61" s="20">
        <f>Tabela718323[[#This Row],[Kolumna3]]-Tabela718323[[#This Row],[Kolumna2]]</f>
        <v>0</v>
      </c>
      <c r="F61" s="53" t="str">
        <f t="shared" si="1"/>
        <v/>
      </c>
      <c r="G61" s="2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2:39" x14ac:dyDescent="0.2">
      <c r="B62" s="22" t="str">
        <f>'Wzorzec kategorii'!B25</f>
        <v>.</v>
      </c>
      <c r="C62" s="19">
        <v>0</v>
      </c>
      <c r="D62" s="47">
        <f>SUM(Tabela33064355[#This Row])</f>
        <v>0</v>
      </c>
      <c r="E62" s="20">
        <f>Tabela718323[[#This Row],[Kolumna3]]-Tabela718323[[#This Row],[Kolumna2]]</f>
        <v>0</v>
      </c>
      <c r="F62" s="53" t="str">
        <f t="shared" si="1"/>
        <v/>
      </c>
      <c r="G62" s="2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:39" x14ac:dyDescent="0.2">
      <c r="B63" s="22" t="str">
        <f>'Wzorzec kategorii'!B26</f>
        <v>.</v>
      </c>
      <c r="C63" s="19">
        <v>0</v>
      </c>
      <c r="D63" s="47">
        <f>SUM(Tabela33064355[#This Row])</f>
        <v>0</v>
      </c>
      <c r="E63" s="20">
        <f>Tabela718323[[#This Row],[Kolumna3]]-Tabela718323[[#This Row],[Kolumna2]]</f>
        <v>0</v>
      </c>
      <c r="F63" s="53" t="str">
        <f t="shared" si="1"/>
        <v/>
      </c>
      <c r="G63" s="2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x14ac:dyDescent="0.2">
      <c r="B64" s="22" t="str">
        <f>'Wzorzec kategorii'!B27</f>
        <v>.</v>
      </c>
      <c r="C64" s="19">
        <v>0</v>
      </c>
      <c r="D64" s="47">
        <f>SUM(Tabela33064355[#This Row])</f>
        <v>0</v>
      </c>
      <c r="E64" s="20">
        <f>Tabela718323[[#This Row],[Kolumna3]]-Tabela718323[[#This Row],[Kolumna2]]</f>
        <v>0</v>
      </c>
      <c r="F64" s="53" t="str">
        <f t="shared" si="1"/>
        <v/>
      </c>
      <c r="G64" s="2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:39" x14ac:dyDescent="0.2">
      <c r="B65" s="22" t="str">
        <f>'Wzorzec kategorii'!B28</f>
        <v>.</v>
      </c>
      <c r="C65" s="19">
        <v>0</v>
      </c>
      <c r="D65" s="47">
        <f>SUM(Tabela33064355[#This Row])</f>
        <v>0</v>
      </c>
      <c r="E65" s="20">
        <f>Tabela718323[[#This Row],[Kolumna3]]-Tabela718323[[#This Row],[Kolumna2]]</f>
        <v>0</v>
      </c>
      <c r="F65" s="53" t="str">
        <f t="shared" si="1"/>
        <v/>
      </c>
      <c r="G65" s="2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39" x14ac:dyDescent="0.2">
      <c r="B66" s="22" t="str">
        <f>'Wzorzec kategorii'!B29</f>
        <v>.</v>
      </c>
      <c r="C66" s="19">
        <v>0</v>
      </c>
      <c r="D66" s="47">
        <f>SUM(Tabela33064355[#This Row])</f>
        <v>0</v>
      </c>
      <c r="E66" s="20">
        <f>Tabela718323[[#This Row],[Kolumna3]]-Tabela718323[[#This Row],[Kolumna2]]</f>
        <v>0</v>
      </c>
      <c r="F66" s="53" t="str">
        <f t="shared" si="1"/>
        <v/>
      </c>
      <c r="G66" s="2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:39" x14ac:dyDescent="0.2">
      <c r="B67" s="5" t="s">
        <v>30</v>
      </c>
    </row>
    <row r="68" spans="2:39" ht="21" x14ac:dyDescent="0.25">
      <c r="B68" s="44" t="s">
        <v>25</v>
      </c>
      <c r="I68" s="7" t="s">
        <v>43</v>
      </c>
    </row>
    <row r="70" spans="2:39" ht="30" x14ac:dyDescent="0.2">
      <c r="B70" s="8" t="s">
        <v>0</v>
      </c>
      <c r="C70" s="9" t="s">
        <v>131</v>
      </c>
      <c r="D70" s="10" t="s">
        <v>135</v>
      </c>
      <c r="E70" s="8" t="s">
        <v>129</v>
      </c>
      <c r="F70" s="9" t="s">
        <v>140</v>
      </c>
      <c r="G70" s="8" t="s">
        <v>41</v>
      </c>
      <c r="I70" s="41" t="s">
        <v>142</v>
      </c>
    </row>
    <row r="71" spans="2:39" ht="24" customHeight="1" x14ac:dyDescent="0.2">
      <c r="B71" s="39" t="s">
        <v>139</v>
      </c>
      <c r="C71" s="40">
        <f>C73+C85+C97+C109+C121+C133+C145+C157+C169+C181+C193+C205+C217+C229+C241</f>
        <v>0</v>
      </c>
      <c r="D71" s="40">
        <f>D73+D85+D97+D109+D121+D133+D145+D157+D169+D181+D193+D205+D217+D229+D241</f>
        <v>0</v>
      </c>
      <c r="E71" s="40">
        <f>C71-D71</f>
        <v>0</v>
      </c>
      <c r="F71" s="8" t="s">
        <v>141</v>
      </c>
      <c r="G71" s="8"/>
      <c r="I71" s="43">
        <f>SUM(I73:I251)</f>
        <v>0</v>
      </c>
      <c r="J71" s="43">
        <f>SUM(J73:J251)</f>
        <v>0</v>
      </c>
      <c r="K71" s="43">
        <f t="shared" ref="K71:AM71" si="2">SUM(K73:K251)</f>
        <v>0</v>
      </c>
      <c r="L71" s="43">
        <f t="shared" si="2"/>
        <v>0</v>
      </c>
      <c r="M71" s="43">
        <f t="shared" si="2"/>
        <v>0</v>
      </c>
      <c r="N71" s="43">
        <f t="shared" si="2"/>
        <v>0</v>
      </c>
      <c r="O71" s="43">
        <f t="shared" si="2"/>
        <v>0</v>
      </c>
      <c r="P71" s="43">
        <f t="shared" si="2"/>
        <v>0</v>
      </c>
      <c r="Q71" s="43">
        <f t="shared" si="2"/>
        <v>0</v>
      </c>
      <c r="R71" s="43">
        <f t="shared" si="2"/>
        <v>0</v>
      </c>
      <c r="S71" s="43">
        <f t="shared" si="2"/>
        <v>0</v>
      </c>
      <c r="T71" s="43">
        <f t="shared" si="2"/>
        <v>0</v>
      </c>
      <c r="U71" s="43">
        <f t="shared" si="2"/>
        <v>0</v>
      </c>
      <c r="V71" s="43">
        <f t="shared" si="2"/>
        <v>0</v>
      </c>
      <c r="W71" s="43">
        <f t="shared" si="2"/>
        <v>0</v>
      </c>
      <c r="X71" s="43">
        <f t="shared" si="2"/>
        <v>0</v>
      </c>
      <c r="Y71" s="43">
        <f t="shared" si="2"/>
        <v>0</v>
      </c>
      <c r="Z71" s="43">
        <f t="shared" si="2"/>
        <v>0</v>
      </c>
      <c r="AA71" s="43">
        <f t="shared" si="2"/>
        <v>0</v>
      </c>
      <c r="AB71" s="43">
        <f t="shared" si="2"/>
        <v>0</v>
      </c>
      <c r="AC71" s="43">
        <f t="shared" si="2"/>
        <v>0</v>
      </c>
      <c r="AD71" s="43">
        <f t="shared" si="2"/>
        <v>0</v>
      </c>
      <c r="AE71" s="43">
        <f t="shared" si="2"/>
        <v>0</v>
      </c>
      <c r="AF71" s="43">
        <f t="shared" si="2"/>
        <v>0</v>
      </c>
      <c r="AG71" s="43">
        <f t="shared" si="2"/>
        <v>0</v>
      </c>
      <c r="AH71" s="43">
        <f t="shared" si="2"/>
        <v>0</v>
      </c>
      <c r="AI71" s="43">
        <f t="shared" si="2"/>
        <v>0</v>
      </c>
      <c r="AJ71" s="43">
        <f t="shared" si="2"/>
        <v>0</v>
      </c>
      <c r="AK71" s="43">
        <f t="shared" si="2"/>
        <v>0</v>
      </c>
      <c r="AL71" s="43">
        <f t="shared" si="2"/>
        <v>0</v>
      </c>
      <c r="AM71" s="43">
        <f t="shared" si="2"/>
        <v>0</v>
      </c>
    </row>
    <row r="73" spans="2:39" x14ac:dyDescent="0.2">
      <c r="B73" s="14" t="str">
        <f>'Wzorzec kategorii'!B35</f>
        <v>Jedzenie</v>
      </c>
      <c r="C73" s="15">
        <f>SUM(Jedzenie2321[[#All],[0]])</f>
        <v>0</v>
      </c>
      <c r="D73" s="16">
        <f>SUM(Jedzenie2321[[#All],[02]])</f>
        <v>0</v>
      </c>
      <c r="E73" s="15">
        <f t="shared" ref="E73:E83" si="3">C73-D73</f>
        <v>0</v>
      </c>
      <c r="F73" s="17" t="str">
        <f t="shared" ref="F73:F83" si="4">IFERROR(D73/C73,"")</f>
        <v/>
      </c>
      <c r="G73" s="23"/>
      <c r="I73" s="11" t="s">
        <v>44</v>
      </c>
      <c r="J73" s="11" t="s">
        <v>45</v>
      </c>
      <c r="K73" s="11" t="s">
        <v>46</v>
      </c>
      <c r="L73" s="11" t="s">
        <v>47</v>
      </c>
      <c r="M73" s="11" t="s">
        <v>48</v>
      </c>
      <c r="N73" s="11" t="s">
        <v>49</v>
      </c>
      <c r="O73" s="11" t="s">
        <v>50</v>
      </c>
      <c r="P73" s="11" t="s">
        <v>51</v>
      </c>
      <c r="Q73" s="11" t="s">
        <v>52</v>
      </c>
      <c r="R73" s="11" t="s">
        <v>53</v>
      </c>
      <c r="S73" s="11" t="s">
        <v>54</v>
      </c>
      <c r="T73" s="11" t="s">
        <v>55</v>
      </c>
      <c r="U73" s="11" t="s">
        <v>56</v>
      </c>
      <c r="V73" s="11" t="s">
        <v>57</v>
      </c>
      <c r="W73" s="11" t="s">
        <v>58</v>
      </c>
      <c r="X73" s="11" t="s">
        <v>59</v>
      </c>
      <c r="Y73" s="11" t="s">
        <v>60</v>
      </c>
      <c r="Z73" s="11" t="s">
        <v>61</v>
      </c>
      <c r="AA73" s="11" t="s">
        <v>62</v>
      </c>
      <c r="AB73" s="11" t="s">
        <v>63</v>
      </c>
      <c r="AC73" s="11" t="s">
        <v>64</v>
      </c>
      <c r="AD73" s="11" t="s">
        <v>65</v>
      </c>
      <c r="AE73" s="11" t="s">
        <v>66</v>
      </c>
      <c r="AF73" s="11" t="s">
        <v>67</v>
      </c>
      <c r="AG73" s="11" t="s">
        <v>68</v>
      </c>
      <c r="AH73" s="11" t="s">
        <v>69</v>
      </c>
      <c r="AI73" s="11" t="s">
        <v>70</v>
      </c>
      <c r="AJ73" s="11" t="s">
        <v>71</v>
      </c>
      <c r="AK73" s="11" t="s">
        <v>72</v>
      </c>
      <c r="AL73" s="11" t="s">
        <v>73</v>
      </c>
      <c r="AM73" s="11" t="s">
        <v>74</v>
      </c>
    </row>
    <row r="74" spans="2:39" x14ac:dyDescent="0.2">
      <c r="B74" s="22" t="str">
        <f>'Wzorzec kategorii'!B36</f>
        <v>Jedzenie dom</v>
      </c>
      <c r="C74" s="19">
        <v>0</v>
      </c>
      <c r="D74" s="20">
        <f>SUM(Tabela330324[#This Row])</f>
        <v>0</v>
      </c>
      <c r="E74" s="20">
        <f t="shared" si="3"/>
        <v>0</v>
      </c>
      <c r="F74" s="21" t="str">
        <f t="shared" si="4"/>
        <v/>
      </c>
      <c r="G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2:39" x14ac:dyDescent="0.2">
      <c r="B75" s="22" t="str">
        <f>'Wzorzec kategorii'!B37</f>
        <v>Jedzenie miasto</v>
      </c>
      <c r="C75" s="19">
        <v>0</v>
      </c>
      <c r="D75" s="20">
        <f>SUM(Tabela330324[#This Row])</f>
        <v>0</v>
      </c>
      <c r="E75" s="20">
        <f t="shared" si="3"/>
        <v>0</v>
      </c>
      <c r="F75" s="21" t="str">
        <f t="shared" si="4"/>
        <v/>
      </c>
      <c r="G75" s="2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:39" x14ac:dyDescent="0.2">
      <c r="B76" s="22" t="str">
        <f>'Wzorzec kategorii'!B38</f>
        <v>Jedzenie praca</v>
      </c>
      <c r="C76" s="19">
        <v>0</v>
      </c>
      <c r="D76" s="20">
        <f>SUM(Tabela330324[#This Row])</f>
        <v>0</v>
      </c>
      <c r="E76" s="20">
        <f t="shared" si="3"/>
        <v>0</v>
      </c>
      <c r="F76" s="21" t="str">
        <f t="shared" si="4"/>
        <v/>
      </c>
      <c r="G76" s="2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2:39" x14ac:dyDescent="0.2">
      <c r="B77" s="22" t="str">
        <f>'Wzorzec kategorii'!B39</f>
        <v>Alkohol</v>
      </c>
      <c r="C77" s="19">
        <v>0</v>
      </c>
      <c r="D77" s="20">
        <f>SUM(Tabela330324[#This Row])</f>
        <v>0</v>
      </c>
      <c r="E77" s="20">
        <f t="shared" si="3"/>
        <v>0</v>
      </c>
      <c r="F77" s="21" t="str">
        <f t="shared" si="4"/>
        <v/>
      </c>
      <c r="G77" s="2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2:39" x14ac:dyDescent="0.2">
      <c r="B78" s="22" t="str">
        <f>'Wzorzec kategorii'!B40</f>
        <v>Inne</v>
      </c>
      <c r="C78" s="19">
        <v>0</v>
      </c>
      <c r="D78" s="20">
        <f>SUM(Tabela330324[#This Row])</f>
        <v>0</v>
      </c>
      <c r="E78" s="20">
        <f t="shared" si="3"/>
        <v>0</v>
      </c>
      <c r="F78" s="21" t="str">
        <f t="shared" si="4"/>
        <v/>
      </c>
      <c r="G78" s="2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:39" x14ac:dyDescent="0.2">
      <c r="B79" s="22" t="str">
        <f>'Wzorzec kategorii'!B41</f>
        <v>.</v>
      </c>
      <c r="C79" s="19">
        <v>0</v>
      </c>
      <c r="D79" s="20">
        <f>SUM(Tabela330324[#This Row])</f>
        <v>0</v>
      </c>
      <c r="E79" s="20">
        <f t="shared" si="3"/>
        <v>0</v>
      </c>
      <c r="F79" s="53" t="str">
        <f t="shared" si="4"/>
        <v/>
      </c>
      <c r="G79" s="5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:39" x14ac:dyDescent="0.2">
      <c r="B80" s="22" t="str">
        <f>'Wzorzec kategorii'!B42</f>
        <v>.</v>
      </c>
      <c r="C80" s="19">
        <v>0</v>
      </c>
      <c r="D80" s="20">
        <f>SUM(Tabela330324[#This Row])</f>
        <v>0</v>
      </c>
      <c r="E80" s="20">
        <f t="shared" si="3"/>
        <v>0</v>
      </c>
      <c r="F80" s="53" t="str">
        <f t="shared" si="4"/>
        <v/>
      </c>
      <c r="G80" s="5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2:41" x14ac:dyDescent="0.2">
      <c r="B81" s="22" t="str">
        <f>'Wzorzec kategorii'!B43</f>
        <v>.</v>
      </c>
      <c r="C81" s="19">
        <v>0</v>
      </c>
      <c r="D81" s="20">
        <f>SUM(Tabela330324[#This Row])</f>
        <v>0</v>
      </c>
      <c r="E81" s="20">
        <f t="shared" si="3"/>
        <v>0</v>
      </c>
      <c r="F81" s="53" t="str">
        <f t="shared" si="4"/>
        <v/>
      </c>
      <c r="G81" s="5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2:41" x14ac:dyDescent="0.2">
      <c r="B82" s="22" t="str">
        <f>'Wzorzec kategorii'!B44</f>
        <v>.</v>
      </c>
      <c r="C82" s="19">
        <v>0</v>
      </c>
      <c r="D82" s="20">
        <f>SUM(Tabela330324[#This Row])</f>
        <v>0</v>
      </c>
      <c r="E82" s="20">
        <f t="shared" si="3"/>
        <v>0</v>
      </c>
      <c r="F82" s="53" t="str">
        <f t="shared" si="4"/>
        <v/>
      </c>
      <c r="G82" s="5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2:41" x14ac:dyDescent="0.2">
      <c r="B83" s="22" t="str">
        <f>'Wzorzec kategorii'!B45</f>
        <v>.</v>
      </c>
      <c r="C83" s="19">
        <v>0</v>
      </c>
      <c r="D83" s="20">
        <f>SUM(Tabela330324[#This Row])</f>
        <v>0</v>
      </c>
      <c r="E83" s="20">
        <f t="shared" si="3"/>
        <v>0</v>
      </c>
      <c r="F83" s="53" t="str">
        <f t="shared" si="4"/>
        <v/>
      </c>
      <c r="G83" s="5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2:41" x14ac:dyDescent="0.2">
      <c r="B84" s="5" t="s">
        <v>30</v>
      </c>
      <c r="C84" s="6"/>
      <c r="D84" s="4"/>
      <c r="E84" s="4"/>
      <c r="F84" s="4"/>
      <c r="G84" s="4"/>
      <c r="I84" s="5" t="s">
        <v>30</v>
      </c>
    </row>
    <row r="85" spans="2:41" x14ac:dyDescent="0.2">
      <c r="B85" s="14" t="str">
        <f>'Wzorzec kategorii'!B47</f>
        <v>Mieszkanie / dom</v>
      </c>
      <c r="C85" s="15">
        <f>SUM(Tabela431325[[#All],[Kolumna2]])</f>
        <v>0</v>
      </c>
      <c r="D85" s="16">
        <f>SUM(Tabela431325[[#All],[Kolumna3]])</f>
        <v>0</v>
      </c>
      <c r="E85" s="15">
        <f>C85-D85</f>
        <v>0</v>
      </c>
      <c r="F85" s="17" t="str">
        <f>IFERROR(D85/C85,"")</f>
        <v/>
      </c>
      <c r="G85" s="23"/>
      <c r="I85" s="11" t="s">
        <v>44</v>
      </c>
      <c r="J85" s="11" t="s">
        <v>45</v>
      </c>
      <c r="K85" s="11" t="s">
        <v>46</v>
      </c>
      <c r="L85" s="11" t="s">
        <v>47</v>
      </c>
      <c r="M85" s="11" t="s">
        <v>48</v>
      </c>
      <c r="N85" s="11" t="s">
        <v>49</v>
      </c>
      <c r="O85" s="11" t="s">
        <v>50</v>
      </c>
      <c r="P85" s="11" t="s">
        <v>51</v>
      </c>
      <c r="Q85" s="11" t="s">
        <v>52</v>
      </c>
      <c r="R85" s="11" t="s">
        <v>53</v>
      </c>
      <c r="S85" s="11" t="s">
        <v>54</v>
      </c>
      <c r="T85" s="11" t="s">
        <v>55</v>
      </c>
      <c r="U85" s="11" t="s">
        <v>56</v>
      </c>
      <c r="V85" s="11" t="s">
        <v>57</v>
      </c>
      <c r="W85" s="11" t="s">
        <v>58</v>
      </c>
      <c r="X85" s="11" t="s">
        <v>59</v>
      </c>
      <c r="Y85" s="11" t="s">
        <v>60</v>
      </c>
      <c r="Z85" s="11" t="s">
        <v>61</v>
      </c>
      <c r="AA85" s="11" t="s">
        <v>62</v>
      </c>
      <c r="AB85" s="11" t="s">
        <v>63</v>
      </c>
      <c r="AC85" s="11" t="s">
        <v>64</v>
      </c>
      <c r="AD85" s="11" t="s">
        <v>65</v>
      </c>
      <c r="AE85" s="11" t="s">
        <v>66</v>
      </c>
      <c r="AF85" s="11" t="s">
        <v>67</v>
      </c>
      <c r="AG85" s="11" t="s">
        <v>68</v>
      </c>
      <c r="AH85" s="11" t="s">
        <v>69</v>
      </c>
      <c r="AI85" s="11" t="s">
        <v>70</v>
      </c>
      <c r="AJ85" s="11" t="s">
        <v>71</v>
      </c>
      <c r="AK85" s="11" t="s">
        <v>72</v>
      </c>
      <c r="AL85" s="11" t="s">
        <v>73</v>
      </c>
      <c r="AM85" s="11" t="s">
        <v>74</v>
      </c>
      <c r="AN85" s="25"/>
      <c r="AO85" s="25"/>
    </row>
    <row r="86" spans="2:41" x14ac:dyDescent="0.2">
      <c r="B86" s="22" t="str">
        <f>'Wzorzec kategorii'!B48</f>
        <v>Czynsz</v>
      </c>
      <c r="C86" s="19">
        <v>0</v>
      </c>
      <c r="D86" s="20">
        <f>SUM(Tabela1841335[#This Row])</f>
        <v>0</v>
      </c>
      <c r="E86" s="20">
        <f t="shared" ref="E86:E95" si="5">C86-D86</f>
        <v>0</v>
      </c>
      <c r="F86" s="21" t="str">
        <f t="shared" ref="F86:F95" si="6">IFERROR(D86/C86,"")</f>
        <v/>
      </c>
      <c r="G86" s="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25"/>
      <c r="AO86" s="25"/>
    </row>
    <row r="87" spans="2:41" x14ac:dyDescent="0.2">
      <c r="B87" s="22" t="str">
        <f>'Wzorzec kategorii'!B49</f>
        <v>Woda i kanalizacja</v>
      </c>
      <c r="C87" s="19">
        <v>0</v>
      </c>
      <c r="D87" s="20">
        <f>SUM(Tabela1841335[#This Row])</f>
        <v>0</v>
      </c>
      <c r="E87" s="20">
        <f t="shared" si="5"/>
        <v>0</v>
      </c>
      <c r="F87" s="21" t="str">
        <f t="shared" si="6"/>
        <v/>
      </c>
      <c r="G87" s="2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25"/>
      <c r="AO87" s="25"/>
    </row>
    <row r="88" spans="2:41" x14ac:dyDescent="0.2">
      <c r="B88" s="22" t="str">
        <f>'Wzorzec kategorii'!B50</f>
        <v>Prąd</v>
      </c>
      <c r="C88" s="19">
        <v>0</v>
      </c>
      <c r="D88" s="20">
        <f>SUM(Tabela1841335[#This Row])</f>
        <v>0</v>
      </c>
      <c r="E88" s="20">
        <f t="shared" si="5"/>
        <v>0</v>
      </c>
      <c r="F88" s="21" t="str">
        <f t="shared" si="6"/>
        <v/>
      </c>
      <c r="G88" s="2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25"/>
      <c r="AO88" s="25"/>
    </row>
    <row r="89" spans="2:41" x14ac:dyDescent="0.2">
      <c r="B89" s="22" t="str">
        <f>'Wzorzec kategorii'!B51</f>
        <v>Gaz</v>
      </c>
      <c r="C89" s="19">
        <v>0</v>
      </c>
      <c r="D89" s="20">
        <f>SUM(Tabela1841335[#This Row])</f>
        <v>0</v>
      </c>
      <c r="E89" s="20">
        <f t="shared" si="5"/>
        <v>0</v>
      </c>
      <c r="F89" s="21" t="str">
        <f t="shared" si="6"/>
        <v/>
      </c>
      <c r="G89" s="2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25"/>
      <c r="AO89" s="25"/>
    </row>
    <row r="90" spans="2:41" x14ac:dyDescent="0.2">
      <c r="B90" s="22" t="str">
        <f>'Wzorzec kategorii'!B52</f>
        <v>Ogrzewanie</v>
      </c>
      <c r="C90" s="19">
        <v>0</v>
      </c>
      <c r="D90" s="20">
        <f>SUM(Tabela1841335[#This Row])</f>
        <v>0</v>
      </c>
      <c r="E90" s="20">
        <f t="shared" si="5"/>
        <v>0</v>
      </c>
      <c r="F90" s="21" t="str">
        <f t="shared" si="6"/>
        <v/>
      </c>
      <c r="G90" s="24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25"/>
      <c r="AO90" s="25"/>
    </row>
    <row r="91" spans="2:41" x14ac:dyDescent="0.2">
      <c r="B91" s="22" t="str">
        <f>'Wzorzec kategorii'!B53</f>
        <v>Wywóz śmieci</v>
      </c>
      <c r="C91" s="19">
        <v>0</v>
      </c>
      <c r="D91" s="20">
        <f>SUM(Tabela1841335[#This Row])</f>
        <v>0</v>
      </c>
      <c r="E91" s="20">
        <f t="shared" si="5"/>
        <v>0</v>
      </c>
      <c r="F91" s="21" t="str">
        <f t="shared" si="6"/>
        <v/>
      </c>
      <c r="G91" s="24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25"/>
      <c r="AO91" s="25"/>
    </row>
    <row r="92" spans="2:41" x14ac:dyDescent="0.2">
      <c r="B92" s="22" t="str">
        <f>'Wzorzec kategorii'!B54</f>
        <v>Konserwacja i naprawy</v>
      </c>
      <c r="C92" s="19">
        <v>0</v>
      </c>
      <c r="D92" s="20">
        <f>SUM(Tabela1841335[#This Row])</f>
        <v>0</v>
      </c>
      <c r="E92" s="20">
        <f t="shared" si="5"/>
        <v>0</v>
      </c>
      <c r="F92" s="21" t="str">
        <f t="shared" si="6"/>
        <v/>
      </c>
      <c r="G92" s="2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25"/>
      <c r="AO92" s="25"/>
    </row>
    <row r="93" spans="2:41" x14ac:dyDescent="0.2">
      <c r="B93" s="22" t="str">
        <f>'Wzorzec kategorii'!B55</f>
        <v>Wyposażenie</v>
      </c>
      <c r="C93" s="19">
        <v>0</v>
      </c>
      <c r="D93" s="20">
        <f>SUM(Tabela1841335[#This Row])</f>
        <v>0</v>
      </c>
      <c r="E93" s="20">
        <f t="shared" si="5"/>
        <v>0</v>
      </c>
      <c r="F93" s="21" t="str">
        <f t="shared" si="6"/>
        <v/>
      </c>
      <c r="G93" s="2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25"/>
      <c r="AO93" s="25"/>
    </row>
    <row r="94" spans="2:41" x14ac:dyDescent="0.2">
      <c r="B94" s="22" t="str">
        <f>'Wzorzec kategorii'!B56</f>
        <v>Ubezpieczenie nieruchomości</v>
      </c>
      <c r="C94" s="19">
        <v>0</v>
      </c>
      <c r="D94" s="20">
        <f>SUM(Tabela1841335[#This Row])</f>
        <v>0</v>
      </c>
      <c r="E94" s="20">
        <f t="shared" si="5"/>
        <v>0</v>
      </c>
      <c r="F94" s="21" t="str">
        <f t="shared" si="6"/>
        <v/>
      </c>
      <c r="G94" s="2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25"/>
      <c r="AO94" s="25"/>
    </row>
    <row r="95" spans="2:41" x14ac:dyDescent="0.2">
      <c r="B95" s="22" t="str">
        <f>'Wzorzec kategorii'!B57</f>
        <v>Inne</v>
      </c>
      <c r="C95" s="19">
        <v>0</v>
      </c>
      <c r="D95" s="20">
        <f>SUM(Tabela1841335[#This Row])</f>
        <v>0</v>
      </c>
      <c r="E95" s="20">
        <f t="shared" si="5"/>
        <v>0</v>
      </c>
      <c r="F95" s="21" t="str">
        <f t="shared" si="6"/>
        <v/>
      </c>
      <c r="G95" s="2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25"/>
      <c r="AO95" s="25"/>
    </row>
    <row r="96" spans="2:41" x14ac:dyDescent="0.2">
      <c r="B96" s="5" t="s">
        <v>30</v>
      </c>
      <c r="C96" s="6"/>
      <c r="D96" s="4"/>
      <c r="E96" s="4"/>
      <c r="F96" s="4"/>
      <c r="G96" s="4"/>
      <c r="I96" s="26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</row>
    <row r="97" spans="2:41" x14ac:dyDescent="0.2">
      <c r="B97" s="2" t="str">
        <f>'Wzorzec kategorii'!B59</f>
        <v>Transport</v>
      </c>
      <c r="C97" s="3">
        <f>SUM(Transport3322[[#All],[Kolumna2]])</f>
        <v>0</v>
      </c>
      <c r="D97" s="16">
        <f>SUM(Transport3322[[#All],[Kolumna3]])</f>
        <v>0</v>
      </c>
      <c r="E97" s="3">
        <f>C97-D97</f>
        <v>0</v>
      </c>
      <c r="F97" s="17" t="str">
        <f>IFERROR(D97/C97,"")</f>
        <v/>
      </c>
      <c r="G97" s="3"/>
      <c r="I97" s="11" t="s">
        <v>44</v>
      </c>
      <c r="J97" s="11" t="s">
        <v>45</v>
      </c>
      <c r="K97" s="11" t="s">
        <v>46</v>
      </c>
      <c r="L97" s="11" t="s">
        <v>47</v>
      </c>
      <c r="M97" s="11" t="s">
        <v>48</v>
      </c>
      <c r="N97" s="11" t="s">
        <v>49</v>
      </c>
      <c r="O97" s="11" t="s">
        <v>50</v>
      </c>
      <c r="P97" s="11" t="s">
        <v>51</v>
      </c>
      <c r="Q97" s="11" t="s">
        <v>52</v>
      </c>
      <c r="R97" s="11" t="s">
        <v>53</v>
      </c>
      <c r="S97" s="11" t="s">
        <v>54</v>
      </c>
      <c r="T97" s="11" t="s">
        <v>55</v>
      </c>
      <c r="U97" s="11" t="s">
        <v>56</v>
      </c>
      <c r="V97" s="11" t="s">
        <v>57</v>
      </c>
      <c r="W97" s="11" t="s">
        <v>58</v>
      </c>
      <c r="X97" s="11" t="s">
        <v>59</v>
      </c>
      <c r="Y97" s="11" t="s">
        <v>60</v>
      </c>
      <c r="Z97" s="11" t="s">
        <v>61</v>
      </c>
      <c r="AA97" s="11" t="s">
        <v>62</v>
      </c>
      <c r="AB97" s="11" t="s">
        <v>63</v>
      </c>
      <c r="AC97" s="11" t="s">
        <v>64</v>
      </c>
      <c r="AD97" s="11" t="s">
        <v>65</v>
      </c>
      <c r="AE97" s="11" t="s">
        <v>66</v>
      </c>
      <c r="AF97" s="11" t="s">
        <v>67</v>
      </c>
      <c r="AG97" s="11" t="s">
        <v>68</v>
      </c>
      <c r="AH97" s="11" t="s">
        <v>69</v>
      </c>
      <c r="AI97" s="11" t="s">
        <v>70</v>
      </c>
      <c r="AJ97" s="11" t="s">
        <v>71</v>
      </c>
      <c r="AK97" s="11" t="s">
        <v>72</v>
      </c>
      <c r="AL97" s="11" t="s">
        <v>73</v>
      </c>
      <c r="AM97" s="11" t="s">
        <v>74</v>
      </c>
      <c r="AN97" s="25"/>
      <c r="AO97" s="25"/>
    </row>
    <row r="98" spans="2:41" x14ac:dyDescent="0.2">
      <c r="B98" s="22" t="str">
        <f>'Wzorzec kategorii'!B60</f>
        <v>Paliwo do auta</v>
      </c>
      <c r="C98" s="19">
        <v>0</v>
      </c>
      <c r="D98" s="20">
        <f>SUM(Tabela1942336[#This Row])</f>
        <v>0</v>
      </c>
      <c r="E98" s="20">
        <f t="shared" ref="E98:E107" si="7">C98-D98</f>
        <v>0</v>
      </c>
      <c r="F98" s="21" t="str">
        <f t="shared" ref="F98:F107" si="8">IFERROR(D98/C98,"")</f>
        <v/>
      </c>
      <c r="G98" s="24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25"/>
      <c r="AO98" s="25"/>
    </row>
    <row r="99" spans="2:41" x14ac:dyDescent="0.2">
      <c r="B99" s="22" t="str">
        <f>'Wzorzec kategorii'!B61</f>
        <v>Przeglądy i naprawy auta</v>
      </c>
      <c r="C99" s="19">
        <v>0</v>
      </c>
      <c r="D99" s="20">
        <f>SUM(Tabela1942336[#This Row])</f>
        <v>0</v>
      </c>
      <c r="E99" s="20">
        <f t="shared" si="7"/>
        <v>0</v>
      </c>
      <c r="F99" s="21" t="str">
        <f t="shared" si="8"/>
        <v/>
      </c>
      <c r="G99" s="2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25"/>
      <c r="AO99" s="25"/>
    </row>
    <row r="100" spans="2:41" ht="30" x14ac:dyDescent="0.2">
      <c r="B100" s="22" t="str">
        <f>'Wzorzec kategorii'!B62</f>
        <v>Wyposażenie dodatkowe (opony)</v>
      </c>
      <c r="C100" s="19">
        <v>0</v>
      </c>
      <c r="D100" s="20">
        <f>SUM(Tabela1942336[#This Row])</f>
        <v>0</v>
      </c>
      <c r="E100" s="20">
        <f t="shared" si="7"/>
        <v>0</v>
      </c>
      <c r="F100" s="21" t="str">
        <f t="shared" si="8"/>
        <v/>
      </c>
      <c r="G100" s="2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25"/>
      <c r="AO100" s="25"/>
    </row>
    <row r="101" spans="2:41" x14ac:dyDescent="0.2">
      <c r="B101" s="22" t="str">
        <f>'Wzorzec kategorii'!B63</f>
        <v>Ubezpieczenie auta</v>
      </c>
      <c r="C101" s="19">
        <v>0</v>
      </c>
      <c r="D101" s="20">
        <f>SUM(Tabela1942336[#This Row])</f>
        <v>0</v>
      </c>
      <c r="E101" s="20">
        <f t="shared" si="7"/>
        <v>0</v>
      </c>
      <c r="F101" s="21" t="str">
        <f t="shared" si="8"/>
        <v/>
      </c>
      <c r="G101" s="2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25"/>
      <c r="AO101" s="25"/>
    </row>
    <row r="102" spans="2:41" x14ac:dyDescent="0.2">
      <c r="B102" s="22" t="str">
        <f>'Wzorzec kategorii'!B64</f>
        <v>Bilet komunikacji miejskiej</v>
      </c>
      <c r="C102" s="19">
        <v>0</v>
      </c>
      <c r="D102" s="20">
        <f>SUM(Tabela1942336[#This Row])</f>
        <v>0</v>
      </c>
      <c r="E102" s="20">
        <f t="shared" si="7"/>
        <v>0</v>
      </c>
      <c r="F102" s="21" t="str">
        <f t="shared" si="8"/>
        <v/>
      </c>
      <c r="G102" s="2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25"/>
      <c r="AO102" s="25"/>
    </row>
    <row r="103" spans="2:41" x14ac:dyDescent="0.2">
      <c r="B103" s="22" t="str">
        <f>'Wzorzec kategorii'!B65</f>
        <v>Bilet PKP, PKS</v>
      </c>
      <c r="C103" s="19">
        <v>0</v>
      </c>
      <c r="D103" s="20">
        <f>SUM(Tabela1942336[#This Row])</f>
        <v>0</v>
      </c>
      <c r="E103" s="20">
        <f t="shared" si="7"/>
        <v>0</v>
      </c>
      <c r="F103" s="21" t="str">
        <f t="shared" si="8"/>
        <v/>
      </c>
      <c r="G103" s="24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25"/>
      <c r="AO103" s="25"/>
    </row>
    <row r="104" spans="2:41" x14ac:dyDescent="0.2">
      <c r="B104" s="22" t="str">
        <f>'Wzorzec kategorii'!B66</f>
        <v>Taxi</v>
      </c>
      <c r="C104" s="19">
        <v>0</v>
      </c>
      <c r="D104" s="20">
        <f>SUM(Tabela1942336[#This Row])</f>
        <v>0</v>
      </c>
      <c r="E104" s="20">
        <f t="shared" si="7"/>
        <v>0</v>
      </c>
      <c r="F104" s="21" t="str">
        <f t="shared" si="8"/>
        <v/>
      </c>
      <c r="G104" s="24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25"/>
      <c r="AO104" s="25"/>
    </row>
    <row r="105" spans="2:41" x14ac:dyDescent="0.2">
      <c r="B105" s="22" t="str">
        <f>'Wzorzec kategorii'!B67</f>
        <v>Inne</v>
      </c>
      <c r="C105" s="19">
        <v>0</v>
      </c>
      <c r="D105" s="20">
        <f>SUM(Tabela1942336[#This Row])</f>
        <v>0</v>
      </c>
      <c r="E105" s="20">
        <f t="shared" si="7"/>
        <v>0</v>
      </c>
      <c r="F105" s="21" t="str">
        <f t="shared" si="8"/>
        <v/>
      </c>
      <c r="G105" s="2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25"/>
      <c r="AO105" s="25"/>
    </row>
    <row r="106" spans="2:41" x14ac:dyDescent="0.2">
      <c r="B106" s="22" t="str">
        <f>'Wzorzec kategorii'!B68</f>
        <v>.</v>
      </c>
      <c r="C106" s="19">
        <v>0</v>
      </c>
      <c r="D106" s="20">
        <f>SUM(Tabela1942336[#This Row])</f>
        <v>0</v>
      </c>
      <c r="E106" s="20">
        <f t="shared" si="7"/>
        <v>0</v>
      </c>
      <c r="F106" s="53" t="str">
        <f t="shared" si="8"/>
        <v/>
      </c>
      <c r="G106" s="54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25"/>
      <c r="AO106" s="25"/>
    </row>
    <row r="107" spans="2:41" x14ac:dyDescent="0.2">
      <c r="B107" s="22" t="str">
        <f>'Wzorzec kategorii'!B69</f>
        <v>.</v>
      </c>
      <c r="C107" s="19">
        <v>0</v>
      </c>
      <c r="D107" s="20">
        <f>SUM(Tabela1942336[#This Row])</f>
        <v>0</v>
      </c>
      <c r="E107" s="20">
        <f t="shared" si="7"/>
        <v>0</v>
      </c>
      <c r="F107" s="53" t="str">
        <f t="shared" si="8"/>
        <v/>
      </c>
      <c r="G107" s="54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25"/>
      <c r="AO107" s="25"/>
    </row>
    <row r="108" spans="2:41" x14ac:dyDescent="0.2">
      <c r="B108" s="5" t="s">
        <v>30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</row>
    <row r="109" spans="2:41" x14ac:dyDescent="0.2">
      <c r="B109" s="2" t="str">
        <f>'Wzorzec kategorii'!B71</f>
        <v>Telekomunikacja</v>
      </c>
      <c r="C109" s="3">
        <f>SUM(Tabela832326[[#All],[Kolumna2]])</f>
        <v>0</v>
      </c>
      <c r="D109" s="16">
        <f>SUM(Tabela832326[[#All],[Kolumna3]])</f>
        <v>0</v>
      </c>
      <c r="E109" s="3">
        <f>C109-D109</f>
        <v>0</v>
      </c>
      <c r="F109" s="17" t="str">
        <f t="shared" ref="F109:F119" si="9">IFERROR(D109/C109,"")</f>
        <v/>
      </c>
      <c r="G109" s="3"/>
      <c r="I109" s="11" t="s">
        <v>44</v>
      </c>
      <c r="J109" s="11" t="s">
        <v>45</v>
      </c>
      <c r="K109" s="11" t="s">
        <v>46</v>
      </c>
      <c r="L109" s="11" t="s">
        <v>47</v>
      </c>
      <c r="M109" s="11" t="s">
        <v>48</v>
      </c>
      <c r="N109" s="11" t="s">
        <v>49</v>
      </c>
      <c r="O109" s="11" t="s">
        <v>50</v>
      </c>
      <c r="P109" s="11" t="s">
        <v>51</v>
      </c>
      <c r="Q109" s="11" t="s">
        <v>52</v>
      </c>
      <c r="R109" s="11" t="s">
        <v>53</v>
      </c>
      <c r="S109" s="11" t="s">
        <v>54</v>
      </c>
      <c r="T109" s="11" t="s">
        <v>55</v>
      </c>
      <c r="U109" s="11" t="s">
        <v>56</v>
      </c>
      <c r="V109" s="11" t="s">
        <v>57</v>
      </c>
      <c r="W109" s="11" t="s">
        <v>58</v>
      </c>
      <c r="X109" s="11" t="s">
        <v>59</v>
      </c>
      <c r="Y109" s="11" t="s">
        <v>60</v>
      </c>
      <c r="Z109" s="11" t="s">
        <v>61</v>
      </c>
      <c r="AA109" s="11" t="s">
        <v>62</v>
      </c>
      <c r="AB109" s="11" t="s">
        <v>63</v>
      </c>
      <c r="AC109" s="11" t="s">
        <v>64</v>
      </c>
      <c r="AD109" s="11" t="s">
        <v>65</v>
      </c>
      <c r="AE109" s="11" t="s">
        <v>66</v>
      </c>
      <c r="AF109" s="11" t="s">
        <v>67</v>
      </c>
      <c r="AG109" s="11" t="s">
        <v>68</v>
      </c>
      <c r="AH109" s="11" t="s">
        <v>69</v>
      </c>
      <c r="AI109" s="11" t="s">
        <v>70</v>
      </c>
      <c r="AJ109" s="11" t="s">
        <v>71</v>
      </c>
      <c r="AK109" s="11" t="s">
        <v>72</v>
      </c>
      <c r="AL109" s="11" t="s">
        <v>73</v>
      </c>
      <c r="AM109" s="11" t="s">
        <v>74</v>
      </c>
      <c r="AN109" s="25"/>
      <c r="AO109" s="25"/>
    </row>
    <row r="110" spans="2:41" x14ac:dyDescent="0.2">
      <c r="B110" s="22" t="str">
        <f>'Wzorzec kategorii'!B72</f>
        <v>Telefon 1</v>
      </c>
      <c r="C110" s="19">
        <v>0</v>
      </c>
      <c r="D110" s="20">
        <f>SUM(Tabela192143337[#This Row])</f>
        <v>0</v>
      </c>
      <c r="E110" s="20">
        <f t="shared" ref="E110:E119" si="10">C110-D110</f>
        <v>0</v>
      </c>
      <c r="F110" s="21" t="str">
        <f t="shared" si="9"/>
        <v/>
      </c>
      <c r="G110" s="24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25"/>
      <c r="AO110" s="25"/>
    </row>
    <row r="111" spans="2:41" x14ac:dyDescent="0.2">
      <c r="B111" s="22" t="str">
        <f>'Wzorzec kategorii'!B73</f>
        <v>Telefon 2</v>
      </c>
      <c r="C111" s="19">
        <v>0</v>
      </c>
      <c r="D111" s="20">
        <f>SUM(Tabela192143337[#This Row])</f>
        <v>0</v>
      </c>
      <c r="E111" s="20">
        <f t="shared" si="10"/>
        <v>0</v>
      </c>
      <c r="F111" s="21" t="str">
        <f t="shared" si="9"/>
        <v/>
      </c>
      <c r="G111" s="24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25"/>
      <c r="AO111" s="25"/>
    </row>
    <row r="112" spans="2:41" x14ac:dyDescent="0.2">
      <c r="B112" s="22" t="str">
        <f>'Wzorzec kategorii'!B74</f>
        <v>TV</v>
      </c>
      <c r="C112" s="19">
        <v>0</v>
      </c>
      <c r="D112" s="20">
        <f>SUM(Tabela192143337[#This Row])</f>
        <v>0</v>
      </c>
      <c r="E112" s="20">
        <f t="shared" si="10"/>
        <v>0</v>
      </c>
      <c r="F112" s="21" t="str">
        <f t="shared" si="9"/>
        <v/>
      </c>
      <c r="G112" s="2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5"/>
      <c r="AO112" s="25"/>
    </row>
    <row r="113" spans="2:41" x14ac:dyDescent="0.2">
      <c r="B113" s="22" t="str">
        <f>'Wzorzec kategorii'!B75</f>
        <v>Internet</v>
      </c>
      <c r="C113" s="19">
        <v>0</v>
      </c>
      <c r="D113" s="20">
        <f>SUM(Tabela192143337[#This Row])</f>
        <v>0</v>
      </c>
      <c r="E113" s="20">
        <f t="shared" si="10"/>
        <v>0</v>
      </c>
      <c r="F113" s="21" t="str">
        <f t="shared" si="9"/>
        <v/>
      </c>
      <c r="G113" s="2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25"/>
      <c r="AO113" s="25"/>
    </row>
    <row r="114" spans="2:41" x14ac:dyDescent="0.2">
      <c r="B114" s="22" t="str">
        <f>'Wzorzec kategorii'!B76</f>
        <v>Inne</v>
      </c>
      <c r="C114" s="19">
        <v>0</v>
      </c>
      <c r="D114" s="20">
        <f>SUM(Tabela192143337[#This Row])</f>
        <v>0</v>
      </c>
      <c r="E114" s="20">
        <f t="shared" si="10"/>
        <v>0</v>
      </c>
      <c r="F114" s="21" t="str">
        <f t="shared" si="9"/>
        <v/>
      </c>
      <c r="G114" s="2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25"/>
      <c r="AO114" s="25"/>
    </row>
    <row r="115" spans="2:41" x14ac:dyDescent="0.2">
      <c r="B115" s="22" t="str">
        <f>'Wzorzec kategorii'!B77</f>
        <v>.</v>
      </c>
      <c r="C115" s="19">
        <v>0</v>
      </c>
      <c r="D115" s="20">
        <f>SUM(Tabela192143337[#This Row])</f>
        <v>0</v>
      </c>
      <c r="E115" s="20">
        <f t="shared" si="10"/>
        <v>0</v>
      </c>
      <c r="F115" s="53" t="str">
        <f t="shared" si="9"/>
        <v/>
      </c>
      <c r="G115" s="54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25"/>
      <c r="AO115" s="25"/>
    </row>
    <row r="116" spans="2:41" x14ac:dyDescent="0.2">
      <c r="B116" s="22" t="str">
        <f>'Wzorzec kategorii'!B78</f>
        <v>.</v>
      </c>
      <c r="C116" s="19">
        <v>0</v>
      </c>
      <c r="D116" s="20">
        <f>SUM(Tabela192143337[#This Row])</f>
        <v>0</v>
      </c>
      <c r="E116" s="20">
        <f t="shared" si="10"/>
        <v>0</v>
      </c>
      <c r="F116" s="53" t="str">
        <f t="shared" si="9"/>
        <v/>
      </c>
      <c r="G116" s="54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25"/>
      <c r="AO116" s="25"/>
    </row>
    <row r="117" spans="2:41" x14ac:dyDescent="0.2">
      <c r="B117" s="22" t="str">
        <f>'Wzorzec kategorii'!B79</f>
        <v>.</v>
      </c>
      <c r="C117" s="19">
        <v>0</v>
      </c>
      <c r="D117" s="20">
        <f>SUM(Tabela192143337[#This Row])</f>
        <v>0</v>
      </c>
      <c r="E117" s="20">
        <f t="shared" si="10"/>
        <v>0</v>
      </c>
      <c r="F117" s="53" t="str">
        <f t="shared" si="9"/>
        <v/>
      </c>
      <c r="G117" s="54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25"/>
      <c r="AO117" s="25"/>
    </row>
    <row r="118" spans="2:41" x14ac:dyDescent="0.2">
      <c r="B118" s="22" t="str">
        <f>'Wzorzec kategorii'!B80</f>
        <v>.</v>
      </c>
      <c r="C118" s="19">
        <v>0</v>
      </c>
      <c r="D118" s="20">
        <f>SUM(Tabela192143337[#This Row])</f>
        <v>0</v>
      </c>
      <c r="E118" s="20">
        <f t="shared" si="10"/>
        <v>0</v>
      </c>
      <c r="F118" s="53" t="str">
        <f t="shared" si="9"/>
        <v/>
      </c>
      <c r="G118" s="54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25"/>
      <c r="AO118" s="25"/>
    </row>
    <row r="119" spans="2:41" x14ac:dyDescent="0.2">
      <c r="B119" s="22" t="str">
        <f>'Wzorzec kategorii'!B81</f>
        <v>.</v>
      </c>
      <c r="C119" s="19">
        <v>0</v>
      </c>
      <c r="D119" s="20">
        <f>SUM(Tabela192143337[#This Row])</f>
        <v>0</v>
      </c>
      <c r="E119" s="20">
        <f t="shared" si="10"/>
        <v>0</v>
      </c>
      <c r="F119" s="53" t="str">
        <f t="shared" si="9"/>
        <v/>
      </c>
      <c r="G119" s="54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25"/>
      <c r="AO119" s="25"/>
    </row>
    <row r="120" spans="2:41" x14ac:dyDescent="0.2"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</row>
    <row r="121" spans="2:41" x14ac:dyDescent="0.2">
      <c r="B121" s="2" t="str">
        <f>'Wzorzec kategorii'!B83</f>
        <v>Opieka zdrowotna</v>
      </c>
      <c r="C121" s="3">
        <f>SUM(Tabela933327[[#All],[Kolumna2]])</f>
        <v>0</v>
      </c>
      <c r="D121" s="16">
        <f>SUM(Tabela933327[[#All],[Kolumna3]])</f>
        <v>0</v>
      </c>
      <c r="E121" s="3">
        <f>C121-D121</f>
        <v>0</v>
      </c>
      <c r="F121" s="17" t="str">
        <f>IFERROR(D121/C121,"")</f>
        <v/>
      </c>
      <c r="G121" s="3"/>
      <c r="I121" s="11" t="s">
        <v>44</v>
      </c>
      <c r="J121" s="11" t="s">
        <v>45</v>
      </c>
      <c r="K121" s="11" t="s">
        <v>46</v>
      </c>
      <c r="L121" s="11" t="s">
        <v>47</v>
      </c>
      <c r="M121" s="11" t="s">
        <v>48</v>
      </c>
      <c r="N121" s="11" t="s">
        <v>49</v>
      </c>
      <c r="O121" s="11" t="s">
        <v>50</v>
      </c>
      <c r="P121" s="11" t="s">
        <v>51</v>
      </c>
      <c r="Q121" s="11" t="s">
        <v>52</v>
      </c>
      <c r="R121" s="11" t="s">
        <v>53</v>
      </c>
      <c r="S121" s="11" t="s">
        <v>54</v>
      </c>
      <c r="T121" s="11" t="s">
        <v>55</v>
      </c>
      <c r="U121" s="11" t="s">
        <v>56</v>
      </c>
      <c r="V121" s="11" t="s">
        <v>57</v>
      </c>
      <c r="W121" s="11" t="s">
        <v>58</v>
      </c>
      <c r="X121" s="11" t="s">
        <v>59</v>
      </c>
      <c r="Y121" s="11" t="s">
        <v>60</v>
      </c>
      <c r="Z121" s="11" t="s">
        <v>61</v>
      </c>
      <c r="AA121" s="11" t="s">
        <v>62</v>
      </c>
      <c r="AB121" s="11" t="s">
        <v>63</v>
      </c>
      <c r="AC121" s="11" t="s">
        <v>64</v>
      </c>
      <c r="AD121" s="11" t="s">
        <v>65</v>
      </c>
      <c r="AE121" s="11" t="s">
        <v>66</v>
      </c>
      <c r="AF121" s="11" t="s">
        <v>67</v>
      </c>
      <c r="AG121" s="11" t="s">
        <v>68</v>
      </c>
      <c r="AH121" s="11" t="s">
        <v>69</v>
      </c>
      <c r="AI121" s="11" t="s">
        <v>70</v>
      </c>
      <c r="AJ121" s="11" t="s">
        <v>71</v>
      </c>
      <c r="AK121" s="11" t="s">
        <v>72</v>
      </c>
      <c r="AL121" s="11" t="s">
        <v>73</v>
      </c>
      <c r="AM121" s="11" t="s">
        <v>74</v>
      </c>
      <c r="AN121" s="25"/>
      <c r="AO121" s="25"/>
    </row>
    <row r="122" spans="2:41" x14ac:dyDescent="0.2">
      <c r="B122" s="22" t="str">
        <f>'Wzorzec kategorii'!B84</f>
        <v>Lekarz</v>
      </c>
      <c r="C122" s="19">
        <v>0</v>
      </c>
      <c r="D122" s="20">
        <f>SUM(Tabela19212547341[#This Row])</f>
        <v>0</v>
      </c>
      <c r="E122" s="20">
        <f t="shared" ref="E122:E131" si="11">C122-D122</f>
        <v>0</v>
      </c>
      <c r="F122" s="21" t="str">
        <f>IFERROR(D122/C122,"")</f>
        <v/>
      </c>
      <c r="G122" s="2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25"/>
      <c r="AO122" s="25"/>
    </row>
    <row r="123" spans="2:41" x14ac:dyDescent="0.2">
      <c r="B123" s="22" t="str">
        <f>'Wzorzec kategorii'!B85</f>
        <v>Badania</v>
      </c>
      <c r="C123" s="19">
        <v>0</v>
      </c>
      <c r="D123" s="20">
        <f>SUM(Tabela19212547341[#This Row])</f>
        <v>0</v>
      </c>
      <c r="E123" s="20">
        <f t="shared" si="11"/>
        <v>0</v>
      </c>
      <c r="F123" s="21" t="str">
        <f>IFERROR(D123/C123,"")</f>
        <v/>
      </c>
      <c r="G123" s="2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25"/>
      <c r="AO123" s="25"/>
    </row>
    <row r="124" spans="2:41" x14ac:dyDescent="0.2">
      <c r="B124" s="22" t="str">
        <f>'Wzorzec kategorii'!B86</f>
        <v>Lekarstwa</v>
      </c>
      <c r="C124" s="19">
        <v>0</v>
      </c>
      <c r="D124" s="20">
        <f>SUM(Tabela19212547341[#This Row])</f>
        <v>0</v>
      </c>
      <c r="E124" s="20">
        <f t="shared" si="11"/>
        <v>0</v>
      </c>
      <c r="F124" s="21" t="str">
        <f>IFERROR(D124/C124,"")</f>
        <v/>
      </c>
      <c r="G124" s="2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25"/>
      <c r="AO124" s="25"/>
    </row>
    <row r="125" spans="2:41" x14ac:dyDescent="0.2">
      <c r="B125" s="22" t="str">
        <f>'Wzorzec kategorii'!B87</f>
        <v>Inne</v>
      </c>
      <c r="C125" s="19">
        <v>0</v>
      </c>
      <c r="D125" s="20">
        <f>SUM(Tabela19212547341[#This Row])</f>
        <v>0</v>
      </c>
      <c r="E125" s="20">
        <f t="shared" si="11"/>
        <v>0</v>
      </c>
      <c r="F125" s="21" t="str">
        <f>IFERROR(D125/C125,"")</f>
        <v/>
      </c>
      <c r="G125" s="24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25"/>
      <c r="AO125" s="25"/>
    </row>
    <row r="126" spans="2:41" x14ac:dyDescent="0.2">
      <c r="B126" s="50" t="str">
        <f>'Wzorzec kategorii'!B88</f>
        <v>.</v>
      </c>
      <c r="C126" s="19">
        <v>0</v>
      </c>
      <c r="D126" s="20">
        <f>SUM(Tabela19212547341[#This Row])</f>
        <v>0</v>
      </c>
      <c r="E126" s="20">
        <f t="shared" si="11"/>
        <v>0</v>
      </c>
      <c r="F126" s="53" t="str">
        <f t="shared" ref="F126:F131" si="12">IFERROR(D126/C126,"")</f>
        <v/>
      </c>
      <c r="G126" s="54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25"/>
      <c r="AO126" s="25"/>
    </row>
    <row r="127" spans="2:41" x14ac:dyDescent="0.2">
      <c r="B127" s="50" t="str">
        <f>'Wzorzec kategorii'!B89</f>
        <v>.</v>
      </c>
      <c r="C127" s="19">
        <v>0</v>
      </c>
      <c r="D127" s="20">
        <f>SUM(Tabela19212547341[#This Row])</f>
        <v>0</v>
      </c>
      <c r="E127" s="20">
        <f t="shared" si="11"/>
        <v>0</v>
      </c>
      <c r="F127" s="53" t="str">
        <f t="shared" si="12"/>
        <v/>
      </c>
      <c r="G127" s="54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25"/>
      <c r="AO127" s="25"/>
    </row>
    <row r="128" spans="2:41" x14ac:dyDescent="0.2">
      <c r="B128" s="50" t="str">
        <f>'Wzorzec kategorii'!B90</f>
        <v>.</v>
      </c>
      <c r="C128" s="19">
        <v>0</v>
      </c>
      <c r="D128" s="20">
        <f>SUM(Tabela19212547341[#This Row])</f>
        <v>0</v>
      </c>
      <c r="E128" s="20">
        <f t="shared" si="11"/>
        <v>0</v>
      </c>
      <c r="F128" s="53" t="str">
        <f t="shared" si="12"/>
        <v/>
      </c>
      <c r="G128" s="54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25"/>
      <c r="AO128" s="25"/>
    </row>
    <row r="129" spans="2:41" x14ac:dyDescent="0.2">
      <c r="B129" s="50" t="str">
        <f>'Wzorzec kategorii'!B91</f>
        <v>.</v>
      </c>
      <c r="C129" s="19">
        <v>0</v>
      </c>
      <c r="D129" s="20">
        <f>SUM(Tabela19212547341[#This Row])</f>
        <v>0</v>
      </c>
      <c r="E129" s="20">
        <f t="shared" si="11"/>
        <v>0</v>
      </c>
      <c r="F129" s="53" t="str">
        <f t="shared" si="12"/>
        <v/>
      </c>
      <c r="G129" s="54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25"/>
      <c r="AO129" s="25"/>
    </row>
    <row r="130" spans="2:41" x14ac:dyDescent="0.2">
      <c r="B130" s="50" t="str">
        <f>'Wzorzec kategorii'!B92</f>
        <v>.</v>
      </c>
      <c r="C130" s="19">
        <v>0</v>
      </c>
      <c r="D130" s="20">
        <f>SUM(Tabela19212547341[#This Row])</f>
        <v>0</v>
      </c>
      <c r="E130" s="20">
        <f t="shared" si="11"/>
        <v>0</v>
      </c>
      <c r="F130" s="53" t="str">
        <f t="shared" si="12"/>
        <v/>
      </c>
      <c r="G130" s="54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25"/>
      <c r="AO130" s="25"/>
    </row>
    <row r="131" spans="2:41" x14ac:dyDescent="0.2">
      <c r="B131" s="50" t="str">
        <f>'Wzorzec kategorii'!B93</f>
        <v>.</v>
      </c>
      <c r="C131" s="19">
        <v>0</v>
      </c>
      <c r="D131" s="20">
        <f>SUM(Tabela19212547341[#This Row])</f>
        <v>0</v>
      </c>
      <c r="E131" s="20">
        <f t="shared" si="11"/>
        <v>0</v>
      </c>
      <c r="F131" s="53" t="str">
        <f t="shared" si="12"/>
        <v/>
      </c>
      <c r="G131" s="54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25"/>
      <c r="AO131" s="25"/>
    </row>
    <row r="132" spans="2:41" x14ac:dyDescent="0.2">
      <c r="B132" s="13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</row>
    <row r="133" spans="2:41" x14ac:dyDescent="0.2">
      <c r="B133" s="2" t="str">
        <f>'Wzorzec kategorii'!B95</f>
        <v>Ubranie</v>
      </c>
      <c r="C133" s="3">
        <f>SUM(Tabela1034328[[#All],[Kolumna2]])</f>
        <v>0</v>
      </c>
      <c r="D133" s="16">
        <f>SUM(Tabela1034328[[#All],[Kolumna3]])</f>
        <v>0</v>
      </c>
      <c r="E133" s="3">
        <f>C133-D133</f>
        <v>0</v>
      </c>
      <c r="F133" s="17" t="str">
        <f t="shared" ref="F133:F143" si="13">IFERROR(D133/C133,"")</f>
        <v/>
      </c>
      <c r="G133" s="3"/>
      <c r="I133" s="11" t="s">
        <v>44</v>
      </c>
      <c r="J133" s="11" t="s">
        <v>45</v>
      </c>
      <c r="K133" s="11" t="s">
        <v>46</v>
      </c>
      <c r="L133" s="11" t="s">
        <v>47</v>
      </c>
      <c r="M133" s="11" t="s">
        <v>48</v>
      </c>
      <c r="N133" s="11" t="s">
        <v>49</v>
      </c>
      <c r="O133" s="11" t="s">
        <v>50</v>
      </c>
      <c r="P133" s="11" t="s">
        <v>51</v>
      </c>
      <c r="Q133" s="11" t="s">
        <v>52</v>
      </c>
      <c r="R133" s="11" t="s">
        <v>53</v>
      </c>
      <c r="S133" s="11" t="s">
        <v>54</v>
      </c>
      <c r="T133" s="11" t="s">
        <v>55</v>
      </c>
      <c r="U133" s="11" t="s">
        <v>56</v>
      </c>
      <c r="V133" s="11" t="s">
        <v>57</v>
      </c>
      <c r="W133" s="11" t="s">
        <v>58</v>
      </c>
      <c r="X133" s="11" t="s">
        <v>59</v>
      </c>
      <c r="Y133" s="11" t="s">
        <v>60</v>
      </c>
      <c r="Z133" s="11" t="s">
        <v>61</v>
      </c>
      <c r="AA133" s="11" t="s">
        <v>62</v>
      </c>
      <c r="AB133" s="11" t="s">
        <v>63</v>
      </c>
      <c r="AC133" s="11" t="s">
        <v>64</v>
      </c>
      <c r="AD133" s="11" t="s">
        <v>65</v>
      </c>
      <c r="AE133" s="11" t="s">
        <v>66</v>
      </c>
      <c r="AF133" s="11" t="s">
        <v>67</v>
      </c>
      <c r="AG133" s="11" t="s">
        <v>68</v>
      </c>
      <c r="AH133" s="11" t="s">
        <v>69</v>
      </c>
      <c r="AI133" s="11" t="s">
        <v>70</v>
      </c>
      <c r="AJ133" s="11" t="s">
        <v>71</v>
      </c>
      <c r="AK133" s="11" t="s">
        <v>72</v>
      </c>
      <c r="AL133" s="11" t="s">
        <v>73</v>
      </c>
      <c r="AM133" s="11" t="s">
        <v>74</v>
      </c>
      <c r="AN133" s="25"/>
      <c r="AO133" s="25"/>
    </row>
    <row r="134" spans="2:41" x14ac:dyDescent="0.2">
      <c r="B134" s="22" t="str">
        <f>'Wzorzec kategorii'!B96</f>
        <v>Ubranie zwykłe</v>
      </c>
      <c r="C134" s="19">
        <v>0</v>
      </c>
      <c r="D134" s="20">
        <f>SUM(Tabela19212446340[#This Row])</f>
        <v>0</v>
      </c>
      <c r="E134" s="20">
        <f t="shared" ref="E134:E143" si="14">C134-D134</f>
        <v>0</v>
      </c>
      <c r="F134" s="21" t="str">
        <f t="shared" si="13"/>
        <v/>
      </c>
      <c r="G134" s="2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25"/>
      <c r="AO134" s="25"/>
    </row>
    <row r="135" spans="2:41" x14ac:dyDescent="0.2">
      <c r="B135" s="22" t="str">
        <f>'Wzorzec kategorii'!B97</f>
        <v>Ubranie sportowe</v>
      </c>
      <c r="C135" s="19">
        <v>0</v>
      </c>
      <c r="D135" s="20">
        <f>SUM(Tabela19212446340[#This Row])</f>
        <v>0</v>
      </c>
      <c r="E135" s="20">
        <f t="shared" si="14"/>
        <v>0</v>
      </c>
      <c r="F135" s="21" t="str">
        <f t="shared" si="13"/>
        <v/>
      </c>
      <c r="G135" s="24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25"/>
      <c r="AO135" s="25"/>
    </row>
    <row r="136" spans="2:41" x14ac:dyDescent="0.2">
      <c r="B136" s="22" t="str">
        <f>'Wzorzec kategorii'!B98</f>
        <v>Buty</v>
      </c>
      <c r="C136" s="19">
        <v>0</v>
      </c>
      <c r="D136" s="20">
        <f>SUM(Tabela19212446340[#This Row])</f>
        <v>0</v>
      </c>
      <c r="E136" s="20">
        <f t="shared" si="14"/>
        <v>0</v>
      </c>
      <c r="F136" s="21" t="str">
        <f t="shared" si="13"/>
        <v/>
      </c>
      <c r="G136" s="24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25"/>
      <c r="AO136" s="25"/>
    </row>
    <row r="137" spans="2:41" x14ac:dyDescent="0.2">
      <c r="B137" s="22" t="str">
        <f>'Wzorzec kategorii'!B99</f>
        <v>Dodatki</v>
      </c>
      <c r="C137" s="19">
        <v>0</v>
      </c>
      <c r="D137" s="20">
        <f>SUM(Tabela19212446340[#This Row])</f>
        <v>0</v>
      </c>
      <c r="E137" s="20">
        <f t="shared" si="14"/>
        <v>0</v>
      </c>
      <c r="F137" s="21" t="str">
        <f t="shared" si="13"/>
        <v/>
      </c>
      <c r="G137" s="2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25"/>
      <c r="AO137" s="25"/>
    </row>
    <row r="138" spans="2:41" x14ac:dyDescent="0.2">
      <c r="B138" s="22" t="str">
        <f>'Wzorzec kategorii'!B100</f>
        <v>Inne</v>
      </c>
      <c r="C138" s="19">
        <v>0</v>
      </c>
      <c r="D138" s="20">
        <f>SUM(Tabela19212446340[#This Row])</f>
        <v>0</v>
      </c>
      <c r="E138" s="20">
        <f t="shared" si="14"/>
        <v>0</v>
      </c>
      <c r="F138" s="21" t="str">
        <f t="shared" si="13"/>
        <v/>
      </c>
      <c r="G138" s="2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25"/>
      <c r="AO138" s="25"/>
    </row>
    <row r="139" spans="2:41" x14ac:dyDescent="0.2">
      <c r="B139" s="50" t="str">
        <f>'Wzorzec kategorii'!B101</f>
        <v>.</v>
      </c>
      <c r="C139" s="19">
        <v>0</v>
      </c>
      <c r="D139" s="20">
        <f>SUM(Tabela19212446340[#This Row])</f>
        <v>0</v>
      </c>
      <c r="E139" s="20">
        <f t="shared" si="14"/>
        <v>0</v>
      </c>
      <c r="F139" s="53" t="str">
        <f t="shared" si="13"/>
        <v/>
      </c>
      <c r="G139" s="54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25"/>
      <c r="AO139" s="25"/>
    </row>
    <row r="140" spans="2:41" x14ac:dyDescent="0.2">
      <c r="B140" s="50" t="str">
        <f>'Wzorzec kategorii'!B102</f>
        <v>.</v>
      </c>
      <c r="C140" s="19">
        <v>0</v>
      </c>
      <c r="D140" s="20">
        <f>SUM(Tabela19212446340[#This Row])</f>
        <v>0</v>
      </c>
      <c r="E140" s="20">
        <f t="shared" si="14"/>
        <v>0</v>
      </c>
      <c r="F140" s="53" t="str">
        <f t="shared" si="13"/>
        <v/>
      </c>
      <c r="G140" s="54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25"/>
      <c r="AO140" s="25"/>
    </row>
    <row r="141" spans="2:41" x14ac:dyDescent="0.2">
      <c r="B141" s="50" t="str">
        <f>'Wzorzec kategorii'!B103</f>
        <v>.</v>
      </c>
      <c r="C141" s="19">
        <v>0</v>
      </c>
      <c r="D141" s="20">
        <f>SUM(Tabela19212446340[#This Row])</f>
        <v>0</v>
      </c>
      <c r="E141" s="20">
        <f t="shared" si="14"/>
        <v>0</v>
      </c>
      <c r="F141" s="53" t="str">
        <f t="shared" si="13"/>
        <v/>
      </c>
      <c r="G141" s="54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25"/>
      <c r="AO141" s="25"/>
    </row>
    <row r="142" spans="2:41" x14ac:dyDescent="0.2">
      <c r="B142" s="50" t="str">
        <f>'Wzorzec kategorii'!B104</f>
        <v>.</v>
      </c>
      <c r="C142" s="19">
        <v>0</v>
      </c>
      <c r="D142" s="20">
        <f>SUM(Tabela19212446340[#This Row])</f>
        <v>0</v>
      </c>
      <c r="E142" s="20">
        <f t="shared" si="14"/>
        <v>0</v>
      </c>
      <c r="F142" s="53" t="str">
        <f t="shared" si="13"/>
        <v/>
      </c>
      <c r="G142" s="54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25"/>
      <c r="AO142" s="25"/>
    </row>
    <row r="143" spans="2:41" x14ac:dyDescent="0.2">
      <c r="B143" s="50" t="str">
        <f>'Wzorzec kategorii'!B105</f>
        <v>.</v>
      </c>
      <c r="C143" s="19">
        <v>0</v>
      </c>
      <c r="D143" s="20">
        <f>SUM(Tabela19212446340[#This Row])</f>
        <v>0</v>
      </c>
      <c r="E143" s="20">
        <f t="shared" si="14"/>
        <v>0</v>
      </c>
      <c r="F143" s="53" t="str">
        <f t="shared" si="13"/>
        <v/>
      </c>
      <c r="G143" s="54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25"/>
      <c r="AO143" s="25"/>
    </row>
    <row r="144" spans="2:41" x14ac:dyDescent="0.2">
      <c r="B144" s="5" t="s">
        <v>30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</row>
    <row r="145" spans="2:41" x14ac:dyDescent="0.2">
      <c r="B145" s="2" t="str">
        <f>'Wzorzec kategorii'!B107</f>
        <v>Higiena</v>
      </c>
      <c r="C145" s="3">
        <f>SUM(Tabela1135329[[#All],[Kolumna2]])</f>
        <v>0</v>
      </c>
      <c r="D145" s="16">
        <f>SUM(Tabela1135329[[#All],[Kolumna3]])</f>
        <v>0</v>
      </c>
      <c r="E145" s="3">
        <f>C145-D145</f>
        <v>0</v>
      </c>
      <c r="F145" s="17" t="str">
        <f t="shared" ref="F145:F155" si="15">IFERROR(D145/C145,"")</f>
        <v/>
      </c>
      <c r="G145" s="3"/>
      <c r="I145" s="11" t="s">
        <v>44</v>
      </c>
      <c r="J145" s="11" t="s">
        <v>45</v>
      </c>
      <c r="K145" s="11" t="s">
        <v>46</v>
      </c>
      <c r="L145" s="11" t="s">
        <v>47</v>
      </c>
      <c r="M145" s="11" t="s">
        <v>48</v>
      </c>
      <c r="N145" s="11" t="s">
        <v>49</v>
      </c>
      <c r="O145" s="11" t="s">
        <v>50</v>
      </c>
      <c r="P145" s="11" t="s">
        <v>51</v>
      </c>
      <c r="Q145" s="11" t="s">
        <v>52</v>
      </c>
      <c r="R145" s="11" t="s">
        <v>53</v>
      </c>
      <c r="S145" s="11" t="s">
        <v>54</v>
      </c>
      <c r="T145" s="11" t="s">
        <v>55</v>
      </c>
      <c r="U145" s="11" t="s">
        <v>56</v>
      </c>
      <c r="V145" s="11" t="s">
        <v>57</v>
      </c>
      <c r="W145" s="11" t="s">
        <v>58</v>
      </c>
      <c r="X145" s="11" t="s">
        <v>59</v>
      </c>
      <c r="Y145" s="11" t="s">
        <v>60</v>
      </c>
      <c r="Z145" s="11" t="s">
        <v>61</v>
      </c>
      <c r="AA145" s="11" t="s">
        <v>62</v>
      </c>
      <c r="AB145" s="11" t="s">
        <v>63</v>
      </c>
      <c r="AC145" s="11" t="s">
        <v>64</v>
      </c>
      <c r="AD145" s="11" t="s">
        <v>65</v>
      </c>
      <c r="AE145" s="11" t="s">
        <v>66</v>
      </c>
      <c r="AF145" s="11" t="s">
        <v>67</v>
      </c>
      <c r="AG145" s="11" t="s">
        <v>68</v>
      </c>
      <c r="AH145" s="11" t="s">
        <v>69</v>
      </c>
      <c r="AI145" s="11" t="s">
        <v>70</v>
      </c>
      <c r="AJ145" s="11" t="s">
        <v>71</v>
      </c>
      <c r="AK145" s="11" t="s">
        <v>72</v>
      </c>
      <c r="AL145" s="11" t="s">
        <v>73</v>
      </c>
      <c r="AM145" s="11" t="s">
        <v>74</v>
      </c>
      <c r="AN145" s="25"/>
      <c r="AO145" s="25"/>
    </row>
    <row r="146" spans="2:41" x14ac:dyDescent="0.2">
      <c r="B146" s="22" t="str">
        <f>'Wzorzec kategorii'!B108</f>
        <v>Kosmetyki</v>
      </c>
      <c r="C146" s="19">
        <v>0</v>
      </c>
      <c r="D146" s="20">
        <f>SUM(Tabela192244338[#This Row])</f>
        <v>0</v>
      </c>
      <c r="E146" s="20">
        <f t="shared" ref="E146:E155" si="16">C146-D146</f>
        <v>0</v>
      </c>
      <c r="F146" s="21" t="str">
        <f t="shared" si="15"/>
        <v/>
      </c>
      <c r="G146" s="24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25"/>
      <c r="AO146" s="25"/>
    </row>
    <row r="147" spans="2:41" x14ac:dyDescent="0.2">
      <c r="B147" s="22" t="str">
        <f>'Wzorzec kategorii'!B109</f>
        <v>Środki czystości (chemia)</v>
      </c>
      <c r="C147" s="19">
        <v>0</v>
      </c>
      <c r="D147" s="20">
        <f>SUM(Tabela192244338[#This Row])</f>
        <v>0</v>
      </c>
      <c r="E147" s="20">
        <f t="shared" si="16"/>
        <v>0</v>
      </c>
      <c r="F147" s="21" t="str">
        <f t="shared" si="15"/>
        <v/>
      </c>
      <c r="G147" s="2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25"/>
      <c r="AO147" s="25"/>
    </row>
    <row r="148" spans="2:41" x14ac:dyDescent="0.2">
      <c r="B148" s="22" t="str">
        <f>'Wzorzec kategorii'!B110</f>
        <v>Fryzjer</v>
      </c>
      <c r="C148" s="19">
        <v>0</v>
      </c>
      <c r="D148" s="20">
        <f>SUM(Tabela192244338[#This Row])</f>
        <v>0</v>
      </c>
      <c r="E148" s="20">
        <f t="shared" si="16"/>
        <v>0</v>
      </c>
      <c r="F148" s="21" t="str">
        <f t="shared" si="15"/>
        <v/>
      </c>
      <c r="G148" s="2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25"/>
      <c r="AO148" s="25"/>
    </row>
    <row r="149" spans="2:41" x14ac:dyDescent="0.2">
      <c r="B149" s="22" t="str">
        <f>'Wzorzec kategorii'!B111</f>
        <v>Kosmetyczka</v>
      </c>
      <c r="C149" s="19">
        <v>0</v>
      </c>
      <c r="D149" s="20">
        <f>SUM(Tabela192244338[#This Row])</f>
        <v>0</v>
      </c>
      <c r="E149" s="20">
        <f t="shared" si="16"/>
        <v>0</v>
      </c>
      <c r="F149" s="21" t="str">
        <f t="shared" si="15"/>
        <v/>
      </c>
      <c r="G149" s="2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25"/>
      <c r="AO149" s="25"/>
    </row>
    <row r="150" spans="2:41" x14ac:dyDescent="0.2">
      <c r="B150" s="22" t="str">
        <f>'Wzorzec kategorii'!B112</f>
        <v>Inne</v>
      </c>
      <c r="C150" s="19">
        <v>0</v>
      </c>
      <c r="D150" s="20">
        <f>SUM(Tabela192244338[#This Row])</f>
        <v>0</v>
      </c>
      <c r="E150" s="20">
        <f t="shared" si="16"/>
        <v>0</v>
      </c>
      <c r="F150" s="21" t="str">
        <f t="shared" si="15"/>
        <v/>
      </c>
      <c r="G150" s="2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25"/>
      <c r="AO150" s="25"/>
    </row>
    <row r="151" spans="2:41" x14ac:dyDescent="0.2">
      <c r="B151" s="22" t="str">
        <f>'Wzorzec kategorii'!B113</f>
        <v>.</v>
      </c>
      <c r="C151" s="19">
        <v>0</v>
      </c>
      <c r="D151" s="20">
        <f>SUM(Tabela192244338[#This Row])</f>
        <v>0</v>
      </c>
      <c r="E151" s="20">
        <f t="shared" si="16"/>
        <v>0</v>
      </c>
      <c r="F151" s="53" t="str">
        <f t="shared" si="15"/>
        <v/>
      </c>
      <c r="G151" s="54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25"/>
      <c r="AO151" s="25"/>
    </row>
    <row r="152" spans="2:41" x14ac:dyDescent="0.2">
      <c r="B152" s="22" t="str">
        <f>'Wzorzec kategorii'!B114</f>
        <v>.</v>
      </c>
      <c r="C152" s="19">
        <v>0</v>
      </c>
      <c r="D152" s="20">
        <f>SUM(Tabela192244338[#This Row])</f>
        <v>0</v>
      </c>
      <c r="E152" s="20">
        <f t="shared" si="16"/>
        <v>0</v>
      </c>
      <c r="F152" s="53" t="str">
        <f t="shared" si="15"/>
        <v/>
      </c>
      <c r="G152" s="54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25"/>
      <c r="AO152" s="25"/>
    </row>
    <row r="153" spans="2:41" x14ac:dyDescent="0.2">
      <c r="B153" s="22" t="str">
        <f>'Wzorzec kategorii'!B115</f>
        <v>.</v>
      </c>
      <c r="C153" s="19">
        <v>0</v>
      </c>
      <c r="D153" s="20">
        <f>SUM(Tabela192244338[#This Row])</f>
        <v>0</v>
      </c>
      <c r="E153" s="20">
        <f t="shared" si="16"/>
        <v>0</v>
      </c>
      <c r="F153" s="53" t="str">
        <f t="shared" si="15"/>
        <v/>
      </c>
      <c r="G153" s="54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25"/>
      <c r="AO153" s="25"/>
    </row>
    <row r="154" spans="2:41" x14ac:dyDescent="0.2">
      <c r="B154" s="22" t="str">
        <f>'Wzorzec kategorii'!B116</f>
        <v>.</v>
      </c>
      <c r="C154" s="19">
        <v>0</v>
      </c>
      <c r="D154" s="20">
        <f>SUM(Tabela192244338[#This Row])</f>
        <v>0</v>
      </c>
      <c r="E154" s="20">
        <f t="shared" si="16"/>
        <v>0</v>
      </c>
      <c r="F154" s="53" t="str">
        <f t="shared" si="15"/>
        <v/>
      </c>
      <c r="G154" s="54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25"/>
      <c r="AO154" s="25"/>
    </row>
    <row r="155" spans="2:41" x14ac:dyDescent="0.2">
      <c r="B155" s="22" t="str">
        <f>'Wzorzec kategorii'!B117</f>
        <v>.</v>
      </c>
      <c r="C155" s="19">
        <v>0</v>
      </c>
      <c r="D155" s="20">
        <f>SUM(Tabela192244338[#This Row])</f>
        <v>0</v>
      </c>
      <c r="E155" s="20">
        <f t="shared" si="16"/>
        <v>0</v>
      </c>
      <c r="F155" s="53" t="str">
        <f t="shared" si="15"/>
        <v/>
      </c>
      <c r="G155" s="54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25"/>
      <c r="AO155" s="25"/>
    </row>
    <row r="156" spans="2:41" x14ac:dyDescent="0.2">
      <c r="B156" s="5" t="s">
        <v>30</v>
      </c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</row>
    <row r="157" spans="2:41" x14ac:dyDescent="0.2">
      <c r="B157" s="2" t="str">
        <f>'Wzorzec kategorii'!B119</f>
        <v>Dzieci</v>
      </c>
      <c r="C157" s="3">
        <f>SUM(Tabela1236330[[#All],[Kolumna2]])</f>
        <v>0</v>
      </c>
      <c r="D157" s="16">
        <f>SUM(Tabela1236330[[#All],[Kolumna3]])</f>
        <v>0</v>
      </c>
      <c r="E157" s="3">
        <f>C157-D157</f>
        <v>0</v>
      </c>
      <c r="F157" s="17" t="str">
        <f>IFERROR(D157/C157,"")</f>
        <v/>
      </c>
      <c r="G157" s="3"/>
      <c r="I157" s="11" t="s">
        <v>44</v>
      </c>
      <c r="J157" s="11" t="s">
        <v>45</v>
      </c>
      <c r="K157" s="11" t="s">
        <v>46</v>
      </c>
      <c r="L157" s="11" t="s">
        <v>47</v>
      </c>
      <c r="M157" s="11" t="s">
        <v>48</v>
      </c>
      <c r="N157" s="11" t="s">
        <v>49</v>
      </c>
      <c r="O157" s="11" t="s">
        <v>50</v>
      </c>
      <c r="P157" s="11" t="s">
        <v>51</v>
      </c>
      <c r="Q157" s="11" t="s">
        <v>52</v>
      </c>
      <c r="R157" s="11" t="s">
        <v>53</v>
      </c>
      <c r="S157" s="11" t="s">
        <v>54</v>
      </c>
      <c r="T157" s="11" t="s">
        <v>55</v>
      </c>
      <c r="U157" s="11" t="s">
        <v>56</v>
      </c>
      <c r="V157" s="11" t="s">
        <v>57</v>
      </c>
      <c r="W157" s="11" t="s">
        <v>58</v>
      </c>
      <c r="X157" s="11" t="s">
        <v>59</v>
      </c>
      <c r="Y157" s="11" t="s">
        <v>60</v>
      </c>
      <c r="Z157" s="11" t="s">
        <v>61</v>
      </c>
      <c r="AA157" s="11" t="s">
        <v>62</v>
      </c>
      <c r="AB157" s="11" t="s">
        <v>63</v>
      </c>
      <c r="AC157" s="11" t="s">
        <v>64</v>
      </c>
      <c r="AD157" s="11" t="s">
        <v>65</v>
      </c>
      <c r="AE157" s="11" t="s">
        <v>66</v>
      </c>
      <c r="AF157" s="11" t="s">
        <v>67</v>
      </c>
      <c r="AG157" s="11" t="s">
        <v>68</v>
      </c>
      <c r="AH157" s="11" t="s">
        <v>69</v>
      </c>
      <c r="AI157" s="11" t="s">
        <v>70</v>
      </c>
      <c r="AJ157" s="11" t="s">
        <v>71</v>
      </c>
      <c r="AK157" s="11" t="s">
        <v>72</v>
      </c>
      <c r="AL157" s="11" t="s">
        <v>73</v>
      </c>
      <c r="AM157" s="11" t="s">
        <v>74</v>
      </c>
      <c r="AN157" s="25"/>
      <c r="AO157" s="25"/>
    </row>
    <row r="158" spans="2:41" x14ac:dyDescent="0.2">
      <c r="B158" s="22" t="str">
        <f>'Wzorzec kategorii'!B120</f>
        <v>Artykuły szkolne</v>
      </c>
      <c r="C158" s="19">
        <v>0</v>
      </c>
      <c r="D158" s="20">
        <f>SUM(Tabela2548342[#This Row])</f>
        <v>0</v>
      </c>
      <c r="E158" s="20">
        <f t="shared" ref="E158:E167" si="17">C158-D158</f>
        <v>0</v>
      </c>
      <c r="F158" s="21" t="str">
        <f t="shared" ref="F158:F167" si="18">IFERROR(D158/C158,"")</f>
        <v/>
      </c>
      <c r="G158" s="2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25"/>
      <c r="AO158" s="25"/>
    </row>
    <row r="159" spans="2:41" x14ac:dyDescent="0.2">
      <c r="B159" s="22" t="str">
        <f>'Wzorzec kategorii'!B121</f>
        <v>Dodatkowe zajęcia</v>
      </c>
      <c r="C159" s="19">
        <v>0</v>
      </c>
      <c r="D159" s="20">
        <f>SUM(Tabela2548342[#This Row])</f>
        <v>0</v>
      </c>
      <c r="E159" s="20">
        <f t="shared" si="17"/>
        <v>0</v>
      </c>
      <c r="F159" s="21" t="str">
        <f t="shared" si="18"/>
        <v/>
      </c>
      <c r="G159" s="2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25"/>
      <c r="AO159" s="25"/>
    </row>
    <row r="160" spans="2:41" x14ac:dyDescent="0.2">
      <c r="B160" s="22" t="str">
        <f>'Wzorzec kategorii'!B122</f>
        <v>Wpłaty na szkołę itp.</v>
      </c>
      <c r="C160" s="19">
        <v>0</v>
      </c>
      <c r="D160" s="20">
        <f>SUM(Tabela2548342[#This Row])</f>
        <v>0</v>
      </c>
      <c r="E160" s="20">
        <f t="shared" si="17"/>
        <v>0</v>
      </c>
      <c r="F160" s="21" t="str">
        <f t="shared" si="18"/>
        <v/>
      </c>
      <c r="G160" s="2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25"/>
      <c r="AO160" s="25"/>
    </row>
    <row r="161" spans="2:41" x14ac:dyDescent="0.2">
      <c r="B161" s="22" t="str">
        <f>'Wzorzec kategorii'!B123</f>
        <v>Zabawki / gry</v>
      </c>
      <c r="C161" s="19">
        <v>0</v>
      </c>
      <c r="D161" s="20">
        <f>SUM(Tabela2548342[#This Row])</f>
        <v>0</v>
      </c>
      <c r="E161" s="20">
        <f t="shared" si="17"/>
        <v>0</v>
      </c>
      <c r="F161" s="21" t="str">
        <f t="shared" si="18"/>
        <v/>
      </c>
      <c r="G161" s="2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25"/>
      <c r="AO161" s="25"/>
    </row>
    <row r="162" spans="2:41" x14ac:dyDescent="0.2">
      <c r="B162" s="22" t="str">
        <f>'Wzorzec kategorii'!B124</f>
        <v>Opieka nad dziećmi</v>
      </c>
      <c r="C162" s="19">
        <v>0</v>
      </c>
      <c r="D162" s="20">
        <f>SUM(Tabela2548342[#This Row])</f>
        <v>0</v>
      </c>
      <c r="E162" s="20">
        <f t="shared" si="17"/>
        <v>0</v>
      </c>
      <c r="F162" s="21" t="str">
        <f t="shared" si="18"/>
        <v/>
      </c>
      <c r="G162" s="2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25"/>
      <c r="AO162" s="25"/>
    </row>
    <row r="163" spans="2:41" x14ac:dyDescent="0.2">
      <c r="B163" s="22" t="str">
        <f>'Wzorzec kategorii'!B125</f>
        <v>Inne</v>
      </c>
      <c r="C163" s="19">
        <v>0</v>
      </c>
      <c r="D163" s="20">
        <f>SUM(Tabela2548342[#This Row])</f>
        <v>0</v>
      </c>
      <c r="E163" s="20">
        <f t="shared" si="17"/>
        <v>0</v>
      </c>
      <c r="F163" s="21" t="str">
        <f t="shared" si="18"/>
        <v/>
      </c>
      <c r="G163" s="24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25"/>
      <c r="AO163" s="25"/>
    </row>
    <row r="164" spans="2:41" x14ac:dyDescent="0.2">
      <c r="B164" s="51" t="str">
        <f>'Wzorzec kategorii'!B126</f>
        <v>.</v>
      </c>
      <c r="C164" s="19">
        <v>0</v>
      </c>
      <c r="D164" s="20">
        <f>SUM(Tabela2548342[#This Row])</f>
        <v>0</v>
      </c>
      <c r="E164" s="20">
        <f t="shared" si="17"/>
        <v>0</v>
      </c>
      <c r="F164" s="53" t="str">
        <f t="shared" si="18"/>
        <v/>
      </c>
      <c r="G164" s="24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25"/>
      <c r="AO164" s="25"/>
    </row>
    <row r="165" spans="2:41" x14ac:dyDescent="0.2">
      <c r="B165" s="51" t="str">
        <f>'Wzorzec kategorii'!B127</f>
        <v>.</v>
      </c>
      <c r="C165" s="19">
        <v>0</v>
      </c>
      <c r="D165" s="20">
        <f>SUM(Tabela2548342[#This Row])</f>
        <v>0</v>
      </c>
      <c r="E165" s="20">
        <f t="shared" si="17"/>
        <v>0</v>
      </c>
      <c r="F165" s="53" t="str">
        <f t="shared" si="18"/>
        <v/>
      </c>
      <c r="G165" s="24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25"/>
      <c r="AO165" s="25"/>
    </row>
    <row r="166" spans="2:41" x14ac:dyDescent="0.2">
      <c r="B166" s="51" t="str">
        <f>'Wzorzec kategorii'!B128</f>
        <v>.</v>
      </c>
      <c r="C166" s="19">
        <v>0</v>
      </c>
      <c r="D166" s="20">
        <f>SUM(Tabela2548342[#This Row])</f>
        <v>0</v>
      </c>
      <c r="E166" s="20">
        <f t="shared" si="17"/>
        <v>0</v>
      </c>
      <c r="F166" s="53" t="str">
        <f t="shared" si="18"/>
        <v/>
      </c>
      <c r="G166" s="24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25"/>
      <c r="AO166" s="25"/>
    </row>
    <row r="167" spans="2:41" x14ac:dyDescent="0.2">
      <c r="B167" s="51" t="str">
        <f>'Wzorzec kategorii'!B129</f>
        <v>.</v>
      </c>
      <c r="C167" s="19">
        <v>0</v>
      </c>
      <c r="D167" s="20">
        <f>SUM(Tabela2548342[#This Row])</f>
        <v>0</v>
      </c>
      <c r="E167" s="20">
        <f t="shared" si="17"/>
        <v>0</v>
      </c>
      <c r="F167" s="53" t="str">
        <f t="shared" si="18"/>
        <v/>
      </c>
      <c r="G167" s="24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25"/>
      <c r="AO167" s="25"/>
    </row>
    <row r="168" spans="2:41" x14ac:dyDescent="0.2">
      <c r="B168" s="5" t="s">
        <v>30</v>
      </c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</row>
    <row r="169" spans="2:41" x14ac:dyDescent="0.2">
      <c r="B169" s="2" t="str">
        <f>'Wzorzec kategorii'!B131</f>
        <v>Rozrywka</v>
      </c>
      <c r="C169" s="3">
        <f>SUM(Tabela1337331[[#All],[Kolumna2]])</f>
        <v>0</v>
      </c>
      <c r="D169" s="16">
        <f>SUM(Tabela1337331[[#All],[Kolumna3]])</f>
        <v>0</v>
      </c>
      <c r="E169" s="3">
        <f>C169-D169</f>
        <v>0</v>
      </c>
      <c r="F169" s="17" t="str">
        <f>IFERROR(D169/C169,"")</f>
        <v/>
      </c>
      <c r="G169" s="3"/>
      <c r="I169" s="11" t="s">
        <v>44</v>
      </c>
      <c r="J169" s="11" t="s">
        <v>45</v>
      </c>
      <c r="K169" s="11" t="s">
        <v>46</v>
      </c>
      <c r="L169" s="11" t="s">
        <v>47</v>
      </c>
      <c r="M169" s="11" t="s">
        <v>48</v>
      </c>
      <c r="N169" s="11" t="s">
        <v>49</v>
      </c>
      <c r="O169" s="11" t="s">
        <v>50</v>
      </c>
      <c r="P169" s="11" t="s">
        <v>51</v>
      </c>
      <c r="Q169" s="11" t="s">
        <v>52</v>
      </c>
      <c r="R169" s="11" t="s">
        <v>53</v>
      </c>
      <c r="S169" s="11" t="s">
        <v>54</v>
      </c>
      <c r="T169" s="11" t="s">
        <v>55</v>
      </c>
      <c r="U169" s="11" t="s">
        <v>56</v>
      </c>
      <c r="V169" s="11" t="s">
        <v>57</v>
      </c>
      <c r="W169" s="11" t="s">
        <v>58</v>
      </c>
      <c r="X169" s="11" t="s">
        <v>59</v>
      </c>
      <c r="Y169" s="11" t="s">
        <v>60</v>
      </c>
      <c r="Z169" s="11" t="s">
        <v>61</v>
      </c>
      <c r="AA169" s="11" t="s">
        <v>62</v>
      </c>
      <c r="AB169" s="11" t="s">
        <v>63</v>
      </c>
      <c r="AC169" s="11" t="s">
        <v>64</v>
      </c>
      <c r="AD169" s="11" t="s">
        <v>65</v>
      </c>
      <c r="AE169" s="11" t="s">
        <v>66</v>
      </c>
      <c r="AF169" s="11" t="s">
        <v>67</v>
      </c>
      <c r="AG169" s="11" t="s">
        <v>68</v>
      </c>
      <c r="AH169" s="11" t="s">
        <v>69</v>
      </c>
      <c r="AI169" s="11" t="s">
        <v>70</v>
      </c>
      <c r="AJ169" s="11" t="s">
        <v>71</v>
      </c>
      <c r="AK169" s="11" t="s">
        <v>72</v>
      </c>
      <c r="AL169" s="11" t="s">
        <v>73</v>
      </c>
      <c r="AM169" s="11" t="s">
        <v>74</v>
      </c>
      <c r="AN169" s="25"/>
      <c r="AO169" s="25"/>
    </row>
    <row r="170" spans="2:41" x14ac:dyDescent="0.2">
      <c r="B170" s="22" t="str">
        <f>'Wzorzec kategorii'!B132</f>
        <v>Siłownia / Basen</v>
      </c>
      <c r="C170" s="19">
        <v>0</v>
      </c>
      <c r="D170" s="20">
        <f>SUM(Tabela2649343[#This Row])</f>
        <v>0</v>
      </c>
      <c r="E170" s="20">
        <f t="shared" ref="E170:E179" si="19">C170-D170</f>
        <v>0</v>
      </c>
      <c r="F170" s="21" t="str">
        <f t="shared" ref="F170:F179" si="20">IFERROR(D170/C170,"")</f>
        <v/>
      </c>
      <c r="G170" s="24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25"/>
      <c r="AO170" s="25"/>
    </row>
    <row r="171" spans="2:41" x14ac:dyDescent="0.2">
      <c r="B171" s="22" t="str">
        <f>'Wzorzec kategorii'!B133</f>
        <v>Kino / Teatr</v>
      </c>
      <c r="C171" s="19">
        <v>0</v>
      </c>
      <c r="D171" s="20">
        <f>SUM(Tabela2649343[#This Row])</f>
        <v>0</v>
      </c>
      <c r="E171" s="20">
        <f t="shared" si="19"/>
        <v>0</v>
      </c>
      <c r="F171" s="21" t="str">
        <f t="shared" si="20"/>
        <v/>
      </c>
      <c r="G171" s="24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25"/>
      <c r="AO171" s="25"/>
    </row>
    <row r="172" spans="2:41" x14ac:dyDescent="0.2">
      <c r="B172" s="22" t="str">
        <f>'Wzorzec kategorii'!B134</f>
        <v>Koncerty</v>
      </c>
      <c r="C172" s="19">
        <v>0</v>
      </c>
      <c r="D172" s="20">
        <f>SUM(Tabela2649343[#This Row])</f>
        <v>0</v>
      </c>
      <c r="E172" s="20">
        <f t="shared" si="19"/>
        <v>0</v>
      </c>
      <c r="F172" s="21" t="str">
        <f t="shared" si="20"/>
        <v/>
      </c>
      <c r="G172" s="24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25"/>
      <c r="AO172" s="25"/>
    </row>
    <row r="173" spans="2:41" x14ac:dyDescent="0.2">
      <c r="B173" s="22" t="str">
        <f>'Wzorzec kategorii'!B135</f>
        <v>Czasopisma</v>
      </c>
      <c r="C173" s="19">
        <v>0</v>
      </c>
      <c r="D173" s="20">
        <f>SUM(Tabela2649343[#This Row])</f>
        <v>0</v>
      </c>
      <c r="E173" s="20">
        <f t="shared" si="19"/>
        <v>0</v>
      </c>
      <c r="F173" s="21" t="str">
        <f t="shared" si="20"/>
        <v/>
      </c>
      <c r="G173" s="24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25"/>
      <c r="AO173" s="25"/>
    </row>
    <row r="174" spans="2:41" x14ac:dyDescent="0.2">
      <c r="B174" s="22" t="str">
        <f>'Wzorzec kategorii'!B136</f>
        <v>Książki</v>
      </c>
      <c r="C174" s="19">
        <v>0</v>
      </c>
      <c r="D174" s="20">
        <f>SUM(Tabela2649343[#This Row])</f>
        <v>0</v>
      </c>
      <c r="E174" s="20">
        <f t="shared" si="19"/>
        <v>0</v>
      </c>
      <c r="F174" s="21" t="str">
        <f t="shared" si="20"/>
        <v/>
      </c>
      <c r="G174" s="24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25"/>
      <c r="AO174" s="25"/>
    </row>
    <row r="175" spans="2:41" x14ac:dyDescent="0.2">
      <c r="B175" s="22" t="str">
        <f>'Wzorzec kategorii'!B137</f>
        <v>Hobby</v>
      </c>
      <c r="C175" s="19">
        <v>0</v>
      </c>
      <c r="D175" s="20">
        <f>SUM(Tabela2649343[#This Row])</f>
        <v>0</v>
      </c>
      <c r="E175" s="20">
        <f t="shared" si="19"/>
        <v>0</v>
      </c>
      <c r="F175" s="21" t="str">
        <f t="shared" si="20"/>
        <v/>
      </c>
      <c r="G175" s="24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25"/>
      <c r="AO175" s="25"/>
    </row>
    <row r="176" spans="2:41" x14ac:dyDescent="0.2">
      <c r="B176" s="22" t="str">
        <f>'Wzorzec kategorii'!B138</f>
        <v>Hotel / Turystyka</v>
      </c>
      <c r="C176" s="19">
        <v>0</v>
      </c>
      <c r="D176" s="20">
        <f>SUM(Tabela2649343[#This Row])</f>
        <v>0</v>
      </c>
      <c r="E176" s="20">
        <f t="shared" si="19"/>
        <v>0</v>
      </c>
      <c r="F176" s="21" t="str">
        <f t="shared" si="20"/>
        <v/>
      </c>
      <c r="G176" s="24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25"/>
      <c r="AO176" s="25"/>
    </row>
    <row r="177" spans="2:41" x14ac:dyDescent="0.2">
      <c r="B177" s="22" t="str">
        <f>'Wzorzec kategorii'!B139</f>
        <v>Inne</v>
      </c>
      <c r="C177" s="19">
        <v>0</v>
      </c>
      <c r="D177" s="20">
        <f>SUM(Tabela2649343[#This Row])</f>
        <v>0</v>
      </c>
      <c r="E177" s="20">
        <f t="shared" si="19"/>
        <v>0</v>
      </c>
      <c r="F177" s="21" t="str">
        <f t="shared" si="20"/>
        <v/>
      </c>
      <c r="G177" s="24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25"/>
      <c r="AO177" s="25"/>
    </row>
    <row r="178" spans="2:41" x14ac:dyDescent="0.2">
      <c r="B178" s="22" t="str">
        <f>'Wzorzec kategorii'!B140</f>
        <v>.</v>
      </c>
      <c r="C178" s="19">
        <v>0</v>
      </c>
      <c r="D178" s="20">
        <f>SUM(Tabela2649343[#This Row])</f>
        <v>0</v>
      </c>
      <c r="E178" s="20">
        <f t="shared" si="19"/>
        <v>0</v>
      </c>
      <c r="F178" s="53" t="str">
        <f t="shared" si="20"/>
        <v/>
      </c>
      <c r="G178" s="54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25"/>
      <c r="AO178" s="25"/>
    </row>
    <row r="179" spans="2:41" x14ac:dyDescent="0.2">
      <c r="B179" s="22" t="str">
        <f>'Wzorzec kategorii'!B141</f>
        <v>.</v>
      </c>
      <c r="C179" s="19">
        <v>0</v>
      </c>
      <c r="D179" s="20">
        <f>SUM(Tabela2649343[#This Row])</f>
        <v>0</v>
      </c>
      <c r="E179" s="20">
        <f t="shared" si="19"/>
        <v>0</v>
      </c>
      <c r="F179" s="53" t="str">
        <f t="shared" si="20"/>
        <v/>
      </c>
      <c r="G179" s="54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25"/>
      <c r="AO179" s="25"/>
    </row>
    <row r="180" spans="2:41" x14ac:dyDescent="0.2">
      <c r="B180" s="5" t="s">
        <v>30</v>
      </c>
      <c r="AN180" s="25"/>
      <c r="AO180" s="25"/>
    </row>
    <row r="181" spans="2:41" x14ac:dyDescent="0.2">
      <c r="B181" s="2" t="str">
        <f>'Wzorzec kategorii'!B143</f>
        <v>Inne wydatki</v>
      </c>
      <c r="C181" s="3">
        <f>SUM(Tabela1438332[[#All],[Kolumna2]])</f>
        <v>0</v>
      </c>
      <c r="D181" s="16">
        <f>SUM(Tabela1438332[[#All],[Kolumna3]])</f>
        <v>0</v>
      </c>
      <c r="E181" s="3">
        <f>C181-D181</f>
        <v>0</v>
      </c>
      <c r="F181" s="17" t="str">
        <f>IFERROR(D181/C181,"")</f>
        <v/>
      </c>
      <c r="G181" s="3"/>
      <c r="I181" s="11" t="s">
        <v>44</v>
      </c>
      <c r="J181" s="11" t="s">
        <v>45</v>
      </c>
      <c r="K181" s="11" t="s">
        <v>46</v>
      </c>
      <c r="L181" s="11" t="s">
        <v>47</v>
      </c>
      <c r="M181" s="11" t="s">
        <v>48</v>
      </c>
      <c r="N181" s="11" t="s">
        <v>49</v>
      </c>
      <c r="O181" s="11" t="s">
        <v>50</v>
      </c>
      <c r="P181" s="11" t="s">
        <v>51</v>
      </c>
      <c r="Q181" s="11" t="s">
        <v>52</v>
      </c>
      <c r="R181" s="11" t="s">
        <v>53</v>
      </c>
      <c r="S181" s="11" t="s">
        <v>54</v>
      </c>
      <c r="T181" s="11" t="s">
        <v>55</v>
      </c>
      <c r="U181" s="11" t="s">
        <v>56</v>
      </c>
      <c r="V181" s="11" t="s">
        <v>57</v>
      </c>
      <c r="W181" s="11" t="s">
        <v>58</v>
      </c>
      <c r="X181" s="11" t="s">
        <v>59</v>
      </c>
      <c r="Y181" s="11" t="s">
        <v>60</v>
      </c>
      <c r="Z181" s="11" t="s">
        <v>61</v>
      </c>
      <c r="AA181" s="11" t="s">
        <v>62</v>
      </c>
      <c r="AB181" s="11" t="s">
        <v>63</v>
      </c>
      <c r="AC181" s="11" t="s">
        <v>64</v>
      </c>
      <c r="AD181" s="11" t="s">
        <v>65</v>
      </c>
      <c r="AE181" s="11" t="s">
        <v>66</v>
      </c>
      <c r="AF181" s="11" t="s">
        <v>67</v>
      </c>
      <c r="AG181" s="11" t="s">
        <v>68</v>
      </c>
      <c r="AH181" s="11" t="s">
        <v>69</v>
      </c>
      <c r="AI181" s="11" t="s">
        <v>70</v>
      </c>
      <c r="AJ181" s="11" t="s">
        <v>71</v>
      </c>
      <c r="AK181" s="11" t="s">
        <v>72</v>
      </c>
      <c r="AL181" s="11" t="s">
        <v>73</v>
      </c>
      <c r="AM181" s="11" t="s">
        <v>74</v>
      </c>
      <c r="AN181" s="25"/>
      <c r="AO181" s="25"/>
    </row>
    <row r="182" spans="2:41" x14ac:dyDescent="0.2">
      <c r="B182" s="22" t="str">
        <f>'Wzorzec kategorii'!B144</f>
        <v>Dobroczynność</v>
      </c>
      <c r="C182" s="19">
        <v>0</v>
      </c>
      <c r="D182" s="20">
        <f>SUM(Tabela2750344[#This Row])</f>
        <v>0</v>
      </c>
      <c r="E182" s="20">
        <f t="shared" ref="E182:E191" si="21">C182-D182</f>
        <v>0</v>
      </c>
      <c r="F182" s="21" t="str">
        <f t="shared" ref="F182:F191" si="22">IFERROR(D182/C182,"")</f>
        <v/>
      </c>
      <c r="G182" s="24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25"/>
      <c r="AO182" s="25"/>
    </row>
    <row r="183" spans="2:41" x14ac:dyDescent="0.2">
      <c r="B183" s="22" t="str">
        <f>'Wzorzec kategorii'!B145</f>
        <v>Prezenty</v>
      </c>
      <c r="C183" s="19">
        <v>0</v>
      </c>
      <c r="D183" s="20">
        <f>SUM(Tabela2750344[#This Row])</f>
        <v>0</v>
      </c>
      <c r="E183" s="20">
        <f t="shared" si="21"/>
        <v>0</v>
      </c>
      <c r="F183" s="21" t="str">
        <f t="shared" si="22"/>
        <v/>
      </c>
      <c r="G183" s="24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25"/>
      <c r="AO183" s="25"/>
    </row>
    <row r="184" spans="2:41" x14ac:dyDescent="0.2">
      <c r="B184" s="22" t="str">
        <f>'Wzorzec kategorii'!B146</f>
        <v>Sprzęt RTV</v>
      </c>
      <c r="C184" s="19">
        <v>0</v>
      </c>
      <c r="D184" s="20">
        <f>SUM(Tabela2750344[#This Row])</f>
        <v>0</v>
      </c>
      <c r="E184" s="20">
        <f t="shared" si="21"/>
        <v>0</v>
      </c>
      <c r="F184" s="21" t="str">
        <f t="shared" si="22"/>
        <v/>
      </c>
      <c r="G184" s="24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25"/>
      <c r="AO184" s="25"/>
    </row>
    <row r="185" spans="2:41" x14ac:dyDescent="0.2">
      <c r="B185" s="22" t="str">
        <f>'Wzorzec kategorii'!B147</f>
        <v>Oprogramowanie</v>
      </c>
      <c r="C185" s="19">
        <v>0</v>
      </c>
      <c r="D185" s="20">
        <f>SUM(Tabela2750344[#This Row])</f>
        <v>0</v>
      </c>
      <c r="E185" s="20">
        <f t="shared" si="21"/>
        <v>0</v>
      </c>
      <c r="F185" s="21" t="str">
        <f t="shared" si="22"/>
        <v/>
      </c>
      <c r="G185" s="24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25"/>
      <c r="AO185" s="25"/>
    </row>
    <row r="186" spans="2:41" x14ac:dyDescent="0.2">
      <c r="B186" s="22" t="str">
        <f>'Wzorzec kategorii'!B148</f>
        <v>Edukacja / Szkolenia</v>
      </c>
      <c r="C186" s="19">
        <v>0</v>
      </c>
      <c r="D186" s="20">
        <f>SUM(Tabela2750344[#This Row])</f>
        <v>0</v>
      </c>
      <c r="E186" s="20">
        <f t="shared" si="21"/>
        <v>0</v>
      </c>
      <c r="F186" s="21" t="str">
        <f t="shared" si="22"/>
        <v/>
      </c>
      <c r="G186" s="24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25"/>
      <c r="AO186" s="25"/>
    </row>
    <row r="187" spans="2:41" x14ac:dyDescent="0.2">
      <c r="B187" s="22" t="str">
        <f>'Wzorzec kategorii'!B149</f>
        <v>Usługi inne</v>
      </c>
      <c r="C187" s="19">
        <v>0</v>
      </c>
      <c r="D187" s="20">
        <f>SUM(Tabela2750344[#This Row])</f>
        <v>0</v>
      </c>
      <c r="E187" s="20">
        <f t="shared" si="21"/>
        <v>0</v>
      </c>
      <c r="F187" s="21" t="str">
        <f t="shared" si="22"/>
        <v/>
      </c>
      <c r="G187" s="24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25"/>
      <c r="AO187" s="25"/>
    </row>
    <row r="188" spans="2:41" x14ac:dyDescent="0.2">
      <c r="B188" s="22" t="str">
        <f>'Wzorzec kategorii'!B150</f>
        <v>Podatki</v>
      </c>
      <c r="C188" s="19">
        <v>0</v>
      </c>
      <c r="D188" s="20">
        <f>SUM(Tabela2750344[#This Row])</f>
        <v>0</v>
      </c>
      <c r="E188" s="20">
        <f t="shared" si="21"/>
        <v>0</v>
      </c>
      <c r="F188" s="21" t="str">
        <f t="shared" si="22"/>
        <v/>
      </c>
      <c r="G188" s="24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25"/>
      <c r="AO188" s="25"/>
    </row>
    <row r="189" spans="2:41" x14ac:dyDescent="0.2">
      <c r="B189" s="22" t="str">
        <f>'Wzorzec kategorii'!B151</f>
        <v>Inne</v>
      </c>
      <c r="C189" s="19">
        <v>0</v>
      </c>
      <c r="D189" s="20">
        <f>SUM(Tabela2750344[#This Row])</f>
        <v>0</v>
      </c>
      <c r="E189" s="20">
        <f t="shared" si="21"/>
        <v>0</v>
      </c>
      <c r="F189" s="21" t="str">
        <f t="shared" si="22"/>
        <v/>
      </c>
      <c r="G189" s="24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25"/>
      <c r="AO189" s="25"/>
    </row>
    <row r="190" spans="2:41" x14ac:dyDescent="0.2">
      <c r="B190" s="22" t="str">
        <f>'Wzorzec kategorii'!B152</f>
        <v>.</v>
      </c>
      <c r="C190" s="19">
        <v>0</v>
      </c>
      <c r="D190" s="20">
        <f>SUM(Tabela2750344[#This Row])</f>
        <v>0</v>
      </c>
      <c r="E190" s="20">
        <f t="shared" si="21"/>
        <v>0</v>
      </c>
      <c r="F190" s="53" t="str">
        <f t="shared" si="22"/>
        <v/>
      </c>
      <c r="G190" s="54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25"/>
      <c r="AO190" s="25"/>
    </row>
    <row r="191" spans="2:41" x14ac:dyDescent="0.2">
      <c r="B191" s="22" t="str">
        <f>'Wzorzec kategorii'!B153</f>
        <v>.</v>
      </c>
      <c r="C191" s="19">
        <v>0</v>
      </c>
      <c r="D191" s="20">
        <f>SUM(Tabela2750344[#This Row])</f>
        <v>0</v>
      </c>
      <c r="E191" s="20">
        <f t="shared" si="21"/>
        <v>0</v>
      </c>
      <c r="F191" s="53" t="str">
        <f t="shared" si="22"/>
        <v/>
      </c>
      <c r="G191" s="54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25"/>
      <c r="AO191" s="25"/>
    </row>
    <row r="192" spans="2:41" x14ac:dyDescent="0.2">
      <c r="B192" s="5" t="s">
        <v>30</v>
      </c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</row>
    <row r="193" spans="2:41" x14ac:dyDescent="0.2">
      <c r="B193" s="2" t="str">
        <f>'Wzorzec kategorii'!B155</f>
        <v>Spłata długów</v>
      </c>
      <c r="C193" s="3">
        <f>SUM(Tabela1539333[[#All],[Kolumna2]])</f>
        <v>0</v>
      </c>
      <c r="D193" s="16">
        <f>SUM(Tabela1539333[[#All],[Kolumna3]])</f>
        <v>0</v>
      </c>
      <c r="E193" s="3">
        <f>C193-D193</f>
        <v>0</v>
      </c>
      <c r="F193" s="17" t="str">
        <f>IFERROR(D193/C193,"")</f>
        <v/>
      </c>
      <c r="G193" s="3"/>
      <c r="I193" s="11" t="s">
        <v>44</v>
      </c>
      <c r="J193" s="11" t="s">
        <v>45</v>
      </c>
      <c r="K193" s="11" t="s">
        <v>46</v>
      </c>
      <c r="L193" s="11" t="s">
        <v>47</v>
      </c>
      <c r="M193" s="11" t="s">
        <v>48</v>
      </c>
      <c r="N193" s="11" t="s">
        <v>49</v>
      </c>
      <c r="O193" s="11" t="s">
        <v>50</v>
      </c>
      <c r="P193" s="11" t="s">
        <v>51</v>
      </c>
      <c r="Q193" s="11" t="s">
        <v>52</v>
      </c>
      <c r="R193" s="11" t="s">
        <v>53</v>
      </c>
      <c r="S193" s="11" t="s">
        <v>54</v>
      </c>
      <c r="T193" s="11" t="s">
        <v>55</v>
      </c>
      <c r="U193" s="11" t="s">
        <v>56</v>
      </c>
      <c r="V193" s="11" t="s">
        <v>57</v>
      </c>
      <c r="W193" s="11" t="s">
        <v>58</v>
      </c>
      <c r="X193" s="11" t="s">
        <v>59</v>
      </c>
      <c r="Y193" s="11" t="s">
        <v>60</v>
      </c>
      <c r="Z193" s="11" t="s">
        <v>61</v>
      </c>
      <c r="AA193" s="11" t="s">
        <v>62</v>
      </c>
      <c r="AB193" s="11" t="s">
        <v>63</v>
      </c>
      <c r="AC193" s="11" t="s">
        <v>64</v>
      </c>
      <c r="AD193" s="11" t="s">
        <v>65</v>
      </c>
      <c r="AE193" s="11" t="s">
        <v>66</v>
      </c>
      <c r="AF193" s="11" t="s">
        <v>67</v>
      </c>
      <c r="AG193" s="11" t="s">
        <v>68</v>
      </c>
      <c r="AH193" s="11" t="s">
        <v>69</v>
      </c>
      <c r="AI193" s="11" t="s">
        <v>70</v>
      </c>
      <c r="AJ193" s="11" t="s">
        <v>71</v>
      </c>
      <c r="AK193" s="11" t="s">
        <v>72</v>
      </c>
      <c r="AL193" s="11" t="s">
        <v>73</v>
      </c>
      <c r="AM193" s="11" t="s">
        <v>74</v>
      </c>
      <c r="AN193" s="25"/>
      <c r="AO193" s="25"/>
    </row>
    <row r="194" spans="2:41" x14ac:dyDescent="0.2">
      <c r="B194" s="22" t="str">
        <f>'Wzorzec kategorii'!B156</f>
        <v>Kredyt hipoteczny</v>
      </c>
      <c r="C194" s="19">
        <v>0</v>
      </c>
      <c r="D194" s="20">
        <f>SUM(Tabela2851345[#This Row])</f>
        <v>0</v>
      </c>
      <c r="E194" s="20">
        <f t="shared" ref="E194:E203" si="23">C194-D194</f>
        <v>0</v>
      </c>
      <c r="F194" s="21" t="str">
        <f t="shared" ref="F194:F203" si="24">IFERROR(D194/C194,"")</f>
        <v/>
      </c>
      <c r="G194" s="24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25"/>
      <c r="AO194" s="25"/>
    </row>
    <row r="195" spans="2:41" x14ac:dyDescent="0.2">
      <c r="B195" s="22" t="str">
        <f>'Wzorzec kategorii'!B157</f>
        <v>Kredyt konsumpcyjny</v>
      </c>
      <c r="C195" s="19">
        <v>0</v>
      </c>
      <c r="D195" s="20">
        <f>SUM(Tabela2851345[#This Row])</f>
        <v>0</v>
      </c>
      <c r="E195" s="20">
        <f t="shared" si="23"/>
        <v>0</v>
      </c>
      <c r="F195" s="21" t="str">
        <f t="shared" si="24"/>
        <v/>
      </c>
      <c r="G195" s="24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25"/>
      <c r="AO195" s="25"/>
    </row>
    <row r="196" spans="2:41" x14ac:dyDescent="0.2">
      <c r="B196" s="22" t="str">
        <f>'Wzorzec kategorii'!B158</f>
        <v>Pożyczka osobista</v>
      </c>
      <c r="C196" s="19">
        <v>0</v>
      </c>
      <c r="D196" s="20">
        <f>SUM(Tabela2851345[#This Row])</f>
        <v>0</v>
      </c>
      <c r="E196" s="20">
        <f t="shared" si="23"/>
        <v>0</v>
      </c>
      <c r="F196" s="21" t="str">
        <f t="shared" si="24"/>
        <v/>
      </c>
      <c r="G196" s="24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25"/>
      <c r="AO196" s="25"/>
    </row>
    <row r="197" spans="2:41" x14ac:dyDescent="0.2">
      <c r="B197" s="22" t="str">
        <f>'Wzorzec kategorii'!B159</f>
        <v>Inne</v>
      </c>
      <c r="C197" s="19">
        <v>0</v>
      </c>
      <c r="D197" s="20">
        <f>SUM(Tabela2851345[#This Row])</f>
        <v>0</v>
      </c>
      <c r="E197" s="20">
        <f t="shared" si="23"/>
        <v>0</v>
      </c>
      <c r="F197" s="21" t="str">
        <f t="shared" si="24"/>
        <v/>
      </c>
      <c r="G197" s="24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25"/>
      <c r="AO197" s="25"/>
    </row>
    <row r="198" spans="2:41" x14ac:dyDescent="0.2">
      <c r="B198" s="22" t="str">
        <f>'Wzorzec kategorii'!B160</f>
        <v>.</v>
      </c>
      <c r="C198" s="19">
        <v>0</v>
      </c>
      <c r="D198" s="20">
        <f>SUM(Tabela2851345[#This Row])</f>
        <v>0</v>
      </c>
      <c r="E198" s="20">
        <f t="shared" si="23"/>
        <v>0</v>
      </c>
      <c r="F198" s="21" t="str">
        <f t="shared" si="24"/>
        <v/>
      </c>
      <c r="G198" s="24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25"/>
      <c r="AO198" s="25"/>
    </row>
    <row r="199" spans="2:41" x14ac:dyDescent="0.2">
      <c r="B199" s="22" t="str">
        <f>'Wzorzec kategorii'!B161</f>
        <v>.</v>
      </c>
      <c r="C199" s="19">
        <v>0</v>
      </c>
      <c r="D199" s="20">
        <f>SUM(Tabela2851345[#This Row])</f>
        <v>0</v>
      </c>
      <c r="E199" s="20">
        <f t="shared" si="23"/>
        <v>0</v>
      </c>
      <c r="F199" s="21" t="str">
        <f t="shared" si="24"/>
        <v/>
      </c>
      <c r="G199" s="24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25"/>
      <c r="AO199" s="25"/>
    </row>
    <row r="200" spans="2:41" x14ac:dyDescent="0.2">
      <c r="B200" s="22" t="str">
        <f>'Wzorzec kategorii'!B162</f>
        <v>.</v>
      </c>
      <c r="C200" s="19">
        <v>0</v>
      </c>
      <c r="D200" s="20">
        <f>SUM(Tabela2851345[#This Row])</f>
        <v>0</v>
      </c>
      <c r="E200" s="20">
        <f t="shared" si="23"/>
        <v>0</v>
      </c>
      <c r="F200" s="53" t="str">
        <f t="shared" si="24"/>
        <v/>
      </c>
      <c r="G200" s="54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25"/>
      <c r="AO200" s="25"/>
    </row>
    <row r="201" spans="2:41" x14ac:dyDescent="0.2">
      <c r="B201" s="22" t="str">
        <f>'Wzorzec kategorii'!B163</f>
        <v>.</v>
      </c>
      <c r="C201" s="19">
        <v>0</v>
      </c>
      <c r="D201" s="20">
        <f>SUM(Tabela2851345[#This Row])</f>
        <v>0</v>
      </c>
      <c r="E201" s="20">
        <f t="shared" si="23"/>
        <v>0</v>
      </c>
      <c r="F201" s="53" t="str">
        <f t="shared" si="24"/>
        <v/>
      </c>
      <c r="G201" s="54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25"/>
      <c r="AO201" s="25"/>
    </row>
    <row r="202" spans="2:41" x14ac:dyDescent="0.2">
      <c r="B202" s="22" t="str">
        <f>'Wzorzec kategorii'!B164</f>
        <v>.</v>
      </c>
      <c r="C202" s="19">
        <v>0</v>
      </c>
      <c r="D202" s="20">
        <f>SUM(Tabela2851345[#This Row])</f>
        <v>0</v>
      </c>
      <c r="E202" s="20">
        <f t="shared" si="23"/>
        <v>0</v>
      </c>
      <c r="F202" s="53" t="str">
        <f t="shared" si="24"/>
        <v/>
      </c>
      <c r="G202" s="54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25"/>
      <c r="AO202" s="25"/>
    </row>
    <row r="203" spans="2:41" x14ac:dyDescent="0.2">
      <c r="B203" s="22" t="str">
        <f>'Wzorzec kategorii'!B165</f>
        <v>.</v>
      </c>
      <c r="C203" s="19">
        <v>0</v>
      </c>
      <c r="D203" s="20">
        <f>SUM(Tabela2851345[#This Row])</f>
        <v>0</v>
      </c>
      <c r="E203" s="20">
        <f t="shared" si="23"/>
        <v>0</v>
      </c>
      <c r="F203" s="53" t="str">
        <f t="shared" si="24"/>
        <v/>
      </c>
      <c r="G203" s="54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25"/>
      <c r="AO203" s="25"/>
    </row>
    <row r="204" spans="2:41" x14ac:dyDescent="0.2">
      <c r="B204" s="5" t="s">
        <v>30</v>
      </c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</row>
    <row r="205" spans="2:41" x14ac:dyDescent="0.2">
      <c r="B205" s="2" t="str">
        <f>'Wzorzec kategorii'!B167</f>
        <v>Budowanie oszczędności</v>
      </c>
      <c r="C205" s="3">
        <f>SUM(Tabela1640334[[#All],[Kolumna2]])</f>
        <v>0</v>
      </c>
      <c r="D205" s="16">
        <f>SUM(Tabela1640334[[#All],[Kolumna3]])</f>
        <v>0</v>
      </c>
      <c r="E205" s="3">
        <f>C205-D205</f>
        <v>0</v>
      </c>
      <c r="F205" s="17" t="str">
        <f>IFERROR(D205/C205,"")</f>
        <v/>
      </c>
      <c r="G205" s="3"/>
      <c r="I205" s="11" t="s">
        <v>44</v>
      </c>
      <c r="J205" s="11" t="s">
        <v>45</v>
      </c>
      <c r="K205" s="11" t="s">
        <v>46</v>
      </c>
      <c r="L205" s="11" t="s">
        <v>47</v>
      </c>
      <c r="M205" s="11" t="s">
        <v>48</v>
      </c>
      <c r="N205" s="11" t="s">
        <v>49</v>
      </c>
      <c r="O205" s="11" t="s">
        <v>50</v>
      </c>
      <c r="P205" s="11" t="s">
        <v>51</v>
      </c>
      <c r="Q205" s="11" t="s">
        <v>52</v>
      </c>
      <c r="R205" s="11" t="s">
        <v>53</v>
      </c>
      <c r="S205" s="11" t="s">
        <v>54</v>
      </c>
      <c r="T205" s="11" t="s">
        <v>55</v>
      </c>
      <c r="U205" s="11" t="s">
        <v>56</v>
      </c>
      <c r="V205" s="11" t="s">
        <v>57</v>
      </c>
      <c r="W205" s="11" t="s">
        <v>58</v>
      </c>
      <c r="X205" s="11" t="s">
        <v>59</v>
      </c>
      <c r="Y205" s="11" t="s">
        <v>60</v>
      </c>
      <c r="Z205" s="11" t="s">
        <v>61</v>
      </c>
      <c r="AA205" s="11" t="s">
        <v>62</v>
      </c>
      <c r="AB205" s="11" t="s">
        <v>63</v>
      </c>
      <c r="AC205" s="11" t="s">
        <v>64</v>
      </c>
      <c r="AD205" s="11" t="s">
        <v>65</v>
      </c>
      <c r="AE205" s="11" t="s">
        <v>66</v>
      </c>
      <c r="AF205" s="11" t="s">
        <v>67</v>
      </c>
      <c r="AG205" s="11" t="s">
        <v>68</v>
      </c>
      <c r="AH205" s="11" t="s">
        <v>69</v>
      </c>
      <c r="AI205" s="11" t="s">
        <v>70</v>
      </c>
      <c r="AJ205" s="11" t="s">
        <v>71</v>
      </c>
      <c r="AK205" s="11" t="s">
        <v>72</v>
      </c>
      <c r="AL205" s="11" t="s">
        <v>73</v>
      </c>
      <c r="AM205" s="11" t="s">
        <v>74</v>
      </c>
      <c r="AN205" s="25"/>
      <c r="AO205" s="25"/>
    </row>
    <row r="206" spans="2:41" x14ac:dyDescent="0.2">
      <c r="B206" s="22" t="str">
        <f>'Wzorzec kategorii'!B168</f>
        <v>Fundusz awaryjny</v>
      </c>
      <c r="C206" s="19">
        <v>0</v>
      </c>
      <c r="D206" s="20">
        <f>SUM(Tabela192345339[#This Row])</f>
        <v>0</v>
      </c>
      <c r="E206" s="20">
        <f t="shared" ref="E206:E215" si="25">C206-D206</f>
        <v>0</v>
      </c>
      <c r="F206" s="21" t="str">
        <f t="shared" ref="F206:F215" si="26">IFERROR(D206/C206,"")</f>
        <v/>
      </c>
      <c r="G206" s="24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25"/>
      <c r="AO206" s="25"/>
    </row>
    <row r="207" spans="2:41" ht="30" x14ac:dyDescent="0.2">
      <c r="B207" s="22" t="str">
        <f>'Wzorzec kategorii'!B169</f>
        <v>Fundusz wydatków nieregularnych</v>
      </c>
      <c r="C207" s="19">
        <v>0</v>
      </c>
      <c r="D207" s="20">
        <f>SUM(Tabela192345339[#This Row])</f>
        <v>0</v>
      </c>
      <c r="E207" s="20">
        <f t="shared" si="25"/>
        <v>0</v>
      </c>
      <c r="F207" s="21" t="str">
        <f t="shared" si="26"/>
        <v/>
      </c>
      <c r="G207" s="24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25"/>
      <c r="AO207" s="25"/>
    </row>
    <row r="208" spans="2:41" x14ac:dyDescent="0.2">
      <c r="B208" s="22" t="str">
        <f>'Wzorzec kategorii'!B170</f>
        <v>Poduszka finansowa</v>
      </c>
      <c r="C208" s="19">
        <v>0</v>
      </c>
      <c r="D208" s="20">
        <f>SUM(Tabela192345339[#This Row])</f>
        <v>0</v>
      </c>
      <c r="E208" s="20">
        <f t="shared" si="25"/>
        <v>0</v>
      </c>
      <c r="F208" s="21" t="str">
        <f t="shared" si="26"/>
        <v/>
      </c>
      <c r="G208" s="24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25"/>
      <c r="AO208" s="25"/>
    </row>
    <row r="209" spans="2:41" x14ac:dyDescent="0.2">
      <c r="B209" s="22" t="str">
        <f>'Wzorzec kategorii'!B171</f>
        <v>Konto emerytalne IKE/IKZE</v>
      </c>
      <c r="C209" s="19">
        <v>0</v>
      </c>
      <c r="D209" s="20">
        <f>SUM(Tabela192345339[#This Row])</f>
        <v>0</v>
      </c>
      <c r="E209" s="20">
        <f t="shared" si="25"/>
        <v>0</v>
      </c>
      <c r="F209" s="21" t="str">
        <f t="shared" si="26"/>
        <v/>
      </c>
      <c r="G209" s="24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25"/>
      <c r="AO209" s="25"/>
    </row>
    <row r="210" spans="2:41" x14ac:dyDescent="0.2">
      <c r="B210" s="22" t="str">
        <f>'Wzorzec kategorii'!B172</f>
        <v>Nadpłata długów</v>
      </c>
      <c r="C210" s="19">
        <v>0</v>
      </c>
      <c r="D210" s="20">
        <f>SUM(Tabela192345339[#This Row])</f>
        <v>0</v>
      </c>
      <c r="E210" s="20">
        <f t="shared" si="25"/>
        <v>0</v>
      </c>
      <c r="F210" s="21" t="str">
        <f t="shared" si="26"/>
        <v/>
      </c>
      <c r="G210" s="24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25"/>
      <c r="AO210" s="25"/>
    </row>
    <row r="211" spans="2:41" x14ac:dyDescent="0.2">
      <c r="B211" s="22" t="str">
        <f>'Wzorzec kategorii'!B173</f>
        <v>Fundusz: wakacje</v>
      </c>
      <c r="C211" s="19">
        <v>0</v>
      </c>
      <c r="D211" s="20">
        <f>SUM(Tabela192345339[#This Row])</f>
        <v>0</v>
      </c>
      <c r="E211" s="20">
        <f t="shared" si="25"/>
        <v>0</v>
      </c>
      <c r="F211" s="21" t="str">
        <f t="shared" si="26"/>
        <v/>
      </c>
      <c r="G211" s="24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25"/>
      <c r="AO211" s="25"/>
    </row>
    <row r="212" spans="2:41" x14ac:dyDescent="0.2">
      <c r="B212" s="22" t="str">
        <f>'Wzorzec kategorii'!B174</f>
        <v>Fundusz: prezenty świąteczne</v>
      </c>
      <c r="C212" s="19">
        <v>0</v>
      </c>
      <c r="D212" s="20">
        <f>SUM(Tabela192345339[#This Row])</f>
        <v>0</v>
      </c>
      <c r="E212" s="20">
        <f t="shared" si="25"/>
        <v>0</v>
      </c>
      <c r="F212" s="21" t="str">
        <f t="shared" si="26"/>
        <v/>
      </c>
      <c r="G212" s="24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25"/>
      <c r="AO212" s="25"/>
    </row>
    <row r="213" spans="2:41" x14ac:dyDescent="0.2">
      <c r="B213" s="22" t="str">
        <f>'Wzorzec kategorii'!B175</f>
        <v>Inne</v>
      </c>
      <c r="C213" s="19">
        <v>0</v>
      </c>
      <c r="D213" s="20">
        <f>SUM(Tabela192345339[#This Row])</f>
        <v>0</v>
      </c>
      <c r="E213" s="20">
        <f t="shared" si="25"/>
        <v>0</v>
      </c>
      <c r="F213" s="21" t="str">
        <f t="shared" si="26"/>
        <v/>
      </c>
      <c r="G213" s="24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25"/>
      <c r="AO213" s="25"/>
    </row>
    <row r="214" spans="2:41" x14ac:dyDescent="0.2">
      <c r="B214" s="22" t="str">
        <f>'Wzorzec kategorii'!B176</f>
        <v>.</v>
      </c>
      <c r="C214" s="19">
        <v>0</v>
      </c>
      <c r="D214" s="20">
        <f>SUM(Tabela192345339[#This Row])</f>
        <v>0</v>
      </c>
      <c r="E214" s="20">
        <f t="shared" si="25"/>
        <v>0</v>
      </c>
      <c r="F214" s="53" t="str">
        <f t="shared" si="26"/>
        <v/>
      </c>
      <c r="G214" s="54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25"/>
      <c r="AO214" s="25"/>
    </row>
    <row r="215" spans="2:41" x14ac:dyDescent="0.2">
      <c r="B215" s="22" t="str">
        <f>'Wzorzec kategorii'!B177</f>
        <v>.</v>
      </c>
      <c r="C215" s="19">
        <v>0</v>
      </c>
      <c r="D215" s="20">
        <f>SUM(Tabela192345339[#This Row])</f>
        <v>0</v>
      </c>
      <c r="E215" s="20">
        <f t="shared" si="25"/>
        <v>0</v>
      </c>
      <c r="F215" s="53" t="str">
        <f t="shared" si="26"/>
        <v/>
      </c>
      <c r="G215" s="54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25"/>
      <c r="AO215" s="25"/>
    </row>
    <row r="216" spans="2:41" x14ac:dyDescent="0.2"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</row>
    <row r="217" spans="2:41" x14ac:dyDescent="0.2">
      <c r="B217" s="2" t="str">
        <f>'Wzorzec kategorii'!B179</f>
        <v>INNE 1</v>
      </c>
      <c r="C217" s="3">
        <f>SUM(Tabela164058346[[#All],[Kolumna2]])</f>
        <v>0</v>
      </c>
      <c r="D217" s="16">
        <f>SUM(Tabela164058346[[#All],[Kolumna3]])</f>
        <v>0</v>
      </c>
      <c r="E217" s="3">
        <f>C217-D217</f>
        <v>0</v>
      </c>
      <c r="F217" s="17" t="str">
        <f>IFERROR(D217/C217,"")</f>
        <v/>
      </c>
      <c r="G217" s="3"/>
      <c r="I217" s="11" t="s">
        <v>44</v>
      </c>
      <c r="J217" s="11" t="s">
        <v>45</v>
      </c>
      <c r="K217" s="11" t="s">
        <v>46</v>
      </c>
      <c r="L217" s="11" t="s">
        <v>47</v>
      </c>
      <c r="M217" s="11" t="s">
        <v>48</v>
      </c>
      <c r="N217" s="11" t="s">
        <v>49</v>
      </c>
      <c r="O217" s="11" t="s">
        <v>50</v>
      </c>
      <c r="P217" s="11" t="s">
        <v>51</v>
      </c>
      <c r="Q217" s="11" t="s">
        <v>52</v>
      </c>
      <c r="R217" s="11" t="s">
        <v>53</v>
      </c>
      <c r="S217" s="11" t="s">
        <v>54</v>
      </c>
      <c r="T217" s="11" t="s">
        <v>55</v>
      </c>
      <c r="U217" s="11" t="s">
        <v>56</v>
      </c>
      <c r="V217" s="11" t="s">
        <v>57</v>
      </c>
      <c r="W217" s="11" t="s">
        <v>58</v>
      </c>
      <c r="X217" s="11" t="s">
        <v>59</v>
      </c>
      <c r="Y217" s="11" t="s">
        <v>60</v>
      </c>
      <c r="Z217" s="11" t="s">
        <v>61</v>
      </c>
      <c r="AA217" s="11" t="s">
        <v>62</v>
      </c>
      <c r="AB217" s="11" t="s">
        <v>63</v>
      </c>
      <c r="AC217" s="11" t="s">
        <v>64</v>
      </c>
      <c r="AD217" s="11" t="s">
        <v>65</v>
      </c>
      <c r="AE217" s="11" t="s">
        <v>66</v>
      </c>
      <c r="AF217" s="11" t="s">
        <v>67</v>
      </c>
      <c r="AG217" s="11" t="s">
        <v>68</v>
      </c>
      <c r="AH217" s="11" t="s">
        <v>69</v>
      </c>
      <c r="AI217" s="11" t="s">
        <v>70</v>
      </c>
      <c r="AJ217" s="11" t="s">
        <v>71</v>
      </c>
      <c r="AK217" s="11" t="s">
        <v>72</v>
      </c>
      <c r="AL217" s="11" t="s">
        <v>73</v>
      </c>
      <c r="AM217" s="11" t="s">
        <v>74</v>
      </c>
    </row>
    <row r="218" spans="2:41" x14ac:dyDescent="0.2">
      <c r="B218" s="22" t="str">
        <f>'Wzorzec kategorii'!B180</f>
        <v>.</v>
      </c>
      <c r="C218" s="19">
        <v>0</v>
      </c>
      <c r="D218" s="20">
        <f>SUM(Tabela19234559347[#This Row])</f>
        <v>0</v>
      </c>
      <c r="E218" s="20">
        <f t="shared" ref="E218:E227" si="27">C218-D218</f>
        <v>0</v>
      </c>
      <c r="F218" s="21" t="str">
        <f t="shared" ref="F218:F227" si="28">IFERROR(D218/C218,"")</f>
        <v/>
      </c>
      <c r="G218" s="24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2:41" x14ac:dyDescent="0.2">
      <c r="B219" s="22" t="str">
        <f>'Wzorzec kategorii'!B181</f>
        <v>.</v>
      </c>
      <c r="C219" s="19">
        <v>0</v>
      </c>
      <c r="D219" s="20">
        <f>SUM(Tabela19234559347[#This Row])</f>
        <v>0</v>
      </c>
      <c r="E219" s="20">
        <f t="shared" si="27"/>
        <v>0</v>
      </c>
      <c r="F219" s="21" t="str">
        <f t="shared" si="28"/>
        <v/>
      </c>
      <c r="G219" s="24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 spans="2:41" x14ac:dyDescent="0.2">
      <c r="B220" s="22" t="str">
        <f>'Wzorzec kategorii'!B182</f>
        <v>.</v>
      </c>
      <c r="C220" s="19">
        <v>0</v>
      </c>
      <c r="D220" s="20">
        <f>SUM(Tabela19234559347[#This Row])</f>
        <v>0</v>
      </c>
      <c r="E220" s="20">
        <f t="shared" si="27"/>
        <v>0</v>
      </c>
      <c r="F220" s="21" t="str">
        <f t="shared" si="28"/>
        <v/>
      </c>
      <c r="G220" s="24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 spans="2:41" x14ac:dyDescent="0.2">
      <c r="B221" s="22" t="str">
        <f>'Wzorzec kategorii'!B183</f>
        <v>.</v>
      </c>
      <c r="C221" s="19">
        <v>0</v>
      </c>
      <c r="D221" s="20">
        <f>SUM(Tabela19234559347[#This Row])</f>
        <v>0</v>
      </c>
      <c r="E221" s="20">
        <f t="shared" si="27"/>
        <v>0</v>
      </c>
      <c r="F221" s="21" t="str">
        <f t="shared" si="28"/>
        <v/>
      </c>
      <c r="G221" s="24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 spans="2:41" x14ac:dyDescent="0.2">
      <c r="B222" s="22" t="str">
        <f>'Wzorzec kategorii'!B184</f>
        <v>.</v>
      </c>
      <c r="C222" s="19">
        <v>0</v>
      </c>
      <c r="D222" s="20">
        <f>SUM(Tabela19234559347[#This Row])</f>
        <v>0</v>
      </c>
      <c r="E222" s="20">
        <f t="shared" si="27"/>
        <v>0</v>
      </c>
      <c r="F222" s="21" t="str">
        <f t="shared" si="28"/>
        <v/>
      </c>
      <c r="G222" s="24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</row>
    <row r="223" spans="2:41" x14ac:dyDescent="0.2">
      <c r="B223" s="22" t="str">
        <f>'Wzorzec kategorii'!B185</f>
        <v>.</v>
      </c>
      <c r="C223" s="19">
        <v>0</v>
      </c>
      <c r="D223" s="20">
        <f>SUM(Tabela19234559347[#This Row])</f>
        <v>0</v>
      </c>
      <c r="E223" s="20">
        <f t="shared" si="27"/>
        <v>0</v>
      </c>
      <c r="F223" s="21" t="str">
        <f t="shared" si="28"/>
        <v/>
      </c>
      <c r="G223" s="24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</row>
    <row r="224" spans="2:41" x14ac:dyDescent="0.2">
      <c r="B224" s="22" t="str">
        <f>'Wzorzec kategorii'!B186</f>
        <v>.</v>
      </c>
      <c r="C224" s="19">
        <v>0</v>
      </c>
      <c r="D224" s="20">
        <f>SUM(Tabela19234559347[#This Row])</f>
        <v>0</v>
      </c>
      <c r="E224" s="20">
        <f t="shared" si="27"/>
        <v>0</v>
      </c>
      <c r="F224" s="21" t="str">
        <f t="shared" si="28"/>
        <v/>
      </c>
      <c r="G224" s="24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2:39" x14ac:dyDescent="0.2">
      <c r="B225" s="22" t="str">
        <f>'Wzorzec kategorii'!B187</f>
        <v>.</v>
      </c>
      <c r="C225" s="19">
        <v>0</v>
      </c>
      <c r="D225" s="20">
        <f>SUM(Tabela19234559347[#This Row])</f>
        <v>0</v>
      </c>
      <c r="E225" s="20">
        <f t="shared" si="27"/>
        <v>0</v>
      </c>
      <c r="F225" s="21" t="str">
        <f t="shared" si="28"/>
        <v/>
      </c>
      <c r="G225" s="24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 spans="2:39" x14ac:dyDescent="0.2">
      <c r="B226" s="22" t="str">
        <f>'Wzorzec kategorii'!B188</f>
        <v>.</v>
      </c>
      <c r="C226" s="19">
        <v>0</v>
      </c>
      <c r="D226" s="20">
        <f>SUM(Tabela19234559347[#This Row])</f>
        <v>0</v>
      </c>
      <c r="E226" s="20">
        <f t="shared" si="27"/>
        <v>0</v>
      </c>
      <c r="F226" s="53" t="str">
        <f t="shared" si="28"/>
        <v/>
      </c>
      <c r="G226" s="54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</row>
    <row r="227" spans="2:39" x14ac:dyDescent="0.2">
      <c r="B227" s="22" t="str">
        <f>'Wzorzec kategorii'!B189</f>
        <v>.</v>
      </c>
      <c r="C227" s="19">
        <v>0</v>
      </c>
      <c r="D227" s="20">
        <f>SUM(Tabela19234559347[#This Row])</f>
        <v>0</v>
      </c>
      <c r="E227" s="20">
        <f t="shared" si="27"/>
        <v>0</v>
      </c>
      <c r="F227" s="53" t="str">
        <f t="shared" si="28"/>
        <v/>
      </c>
      <c r="G227" s="54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</row>
    <row r="228" spans="2:39" x14ac:dyDescent="0.2"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</row>
    <row r="229" spans="2:39" x14ac:dyDescent="0.2">
      <c r="B229" s="2" t="str">
        <f>'Wzorzec kategorii'!B191</f>
        <v>INNE 2</v>
      </c>
      <c r="C229" s="3">
        <f>SUM(Tabela16405860348[[#All],[Kolumna2]])</f>
        <v>0</v>
      </c>
      <c r="D229" s="16">
        <f>SUM(Tabela16405860348[[#All],[Kolumna3]])</f>
        <v>0</v>
      </c>
      <c r="E229" s="3">
        <f>C229-D229</f>
        <v>0</v>
      </c>
      <c r="F229" s="17" t="str">
        <f>IFERROR(D229/C229,"")</f>
        <v/>
      </c>
      <c r="G229" s="3"/>
      <c r="I229" s="11" t="s">
        <v>44</v>
      </c>
      <c r="J229" s="11" t="s">
        <v>45</v>
      </c>
      <c r="K229" s="11" t="s">
        <v>46</v>
      </c>
      <c r="L229" s="11" t="s">
        <v>47</v>
      </c>
      <c r="M229" s="11" t="s">
        <v>48</v>
      </c>
      <c r="N229" s="11" t="s">
        <v>49</v>
      </c>
      <c r="O229" s="11" t="s">
        <v>50</v>
      </c>
      <c r="P229" s="11" t="s">
        <v>51</v>
      </c>
      <c r="Q229" s="11" t="s">
        <v>52</v>
      </c>
      <c r="R229" s="11" t="s">
        <v>53</v>
      </c>
      <c r="S229" s="11" t="s">
        <v>54</v>
      </c>
      <c r="T229" s="11" t="s">
        <v>55</v>
      </c>
      <c r="U229" s="11" t="s">
        <v>56</v>
      </c>
      <c r="V229" s="11" t="s">
        <v>57</v>
      </c>
      <c r="W229" s="11" t="s">
        <v>58</v>
      </c>
      <c r="X229" s="11" t="s">
        <v>59</v>
      </c>
      <c r="Y229" s="11" t="s">
        <v>60</v>
      </c>
      <c r="Z229" s="11" t="s">
        <v>61</v>
      </c>
      <c r="AA229" s="11" t="s">
        <v>62</v>
      </c>
      <c r="AB229" s="11" t="s">
        <v>63</v>
      </c>
      <c r="AC229" s="11" t="s">
        <v>64</v>
      </c>
      <c r="AD229" s="11" t="s">
        <v>65</v>
      </c>
      <c r="AE229" s="11" t="s">
        <v>66</v>
      </c>
      <c r="AF229" s="11" t="s">
        <v>67</v>
      </c>
      <c r="AG229" s="11" t="s">
        <v>68</v>
      </c>
      <c r="AH229" s="11" t="s">
        <v>69</v>
      </c>
      <c r="AI229" s="11" t="s">
        <v>70</v>
      </c>
      <c r="AJ229" s="11" t="s">
        <v>71</v>
      </c>
      <c r="AK229" s="11" t="s">
        <v>72</v>
      </c>
      <c r="AL229" s="11" t="s">
        <v>73</v>
      </c>
      <c r="AM229" s="11" t="s">
        <v>74</v>
      </c>
    </row>
    <row r="230" spans="2:39" x14ac:dyDescent="0.2">
      <c r="B230" s="22" t="str">
        <f>'Wzorzec kategorii'!B192</f>
        <v>.</v>
      </c>
      <c r="C230" s="19">
        <v>0</v>
      </c>
      <c r="D230" s="20">
        <f>SUM(Tabela1923455962350[#This Row])</f>
        <v>0</v>
      </c>
      <c r="E230" s="20">
        <f t="shared" ref="E230:E239" si="29">C230-D230</f>
        <v>0</v>
      </c>
      <c r="F230" s="21" t="str">
        <f t="shared" ref="F230:F239" si="30">IFERROR(D230/C230,"")</f>
        <v/>
      </c>
      <c r="G230" s="24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2:39" x14ac:dyDescent="0.2">
      <c r="B231" s="22" t="str">
        <f>'Wzorzec kategorii'!B193</f>
        <v>.</v>
      </c>
      <c r="C231" s="19">
        <v>0</v>
      </c>
      <c r="D231" s="20">
        <f>SUM(Tabela1923455962350[#This Row])</f>
        <v>0</v>
      </c>
      <c r="E231" s="20">
        <f t="shared" si="29"/>
        <v>0</v>
      </c>
      <c r="F231" s="21" t="str">
        <f t="shared" si="30"/>
        <v/>
      </c>
      <c r="G231" s="24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 spans="2:39" x14ac:dyDescent="0.2">
      <c r="B232" s="22" t="str">
        <f>'Wzorzec kategorii'!B194</f>
        <v>.</v>
      </c>
      <c r="C232" s="19">
        <v>0</v>
      </c>
      <c r="D232" s="20">
        <f>SUM(Tabela1923455962350[#This Row])</f>
        <v>0</v>
      </c>
      <c r="E232" s="20">
        <f t="shared" si="29"/>
        <v>0</v>
      </c>
      <c r="F232" s="21" t="str">
        <f t="shared" si="30"/>
        <v/>
      </c>
      <c r="G232" s="24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</row>
    <row r="233" spans="2:39" x14ac:dyDescent="0.2">
      <c r="B233" s="22" t="str">
        <f>'Wzorzec kategorii'!B195</f>
        <v>.</v>
      </c>
      <c r="C233" s="19">
        <v>0</v>
      </c>
      <c r="D233" s="20">
        <f>SUM(Tabela1923455962350[#This Row])</f>
        <v>0</v>
      </c>
      <c r="E233" s="20">
        <f t="shared" si="29"/>
        <v>0</v>
      </c>
      <c r="F233" s="21" t="str">
        <f t="shared" si="30"/>
        <v/>
      </c>
      <c r="G233" s="24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2:39" x14ac:dyDescent="0.2">
      <c r="B234" s="22" t="str">
        <f>'Wzorzec kategorii'!B196</f>
        <v>.</v>
      </c>
      <c r="C234" s="19">
        <v>0</v>
      </c>
      <c r="D234" s="20">
        <f>SUM(Tabela1923455962350[#This Row])</f>
        <v>0</v>
      </c>
      <c r="E234" s="20">
        <f t="shared" si="29"/>
        <v>0</v>
      </c>
      <c r="F234" s="21" t="str">
        <f t="shared" si="30"/>
        <v/>
      </c>
      <c r="G234" s="24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 spans="2:39" x14ac:dyDescent="0.2">
      <c r="B235" s="22" t="str">
        <f>'Wzorzec kategorii'!B197</f>
        <v>.</v>
      </c>
      <c r="C235" s="19">
        <v>0</v>
      </c>
      <c r="D235" s="20">
        <f>SUM(Tabela1923455962350[#This Row])</f>
        <v>0</v>
      </c>
      <c r="E235" s="20">
        <f t="shared" si="29"/>
        <v>0</v>
      </c>
      <c r="F235" s="21" t="str">
        <f t="shared" si="30"/>
        <v/>
      </c>
      <c r="G235" s="24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 spans="2:39" x14ac:dyDescent="0.2">
      <c r="B236" s="22" t="str">
        <f>'Wzorzec kategorii'!B198</f>
        <v>.</v>
      </c>
      <c r="C236" s="19">
        <v>0</v>
      </c>
      <c r="D236" s="20">
        <f>SUM(Tabela1923455962350[#This Row])</f>
        <v>0</v>
      </c>
      <c r="E236" s="20">
        <f t="shared" si="29"/>
        <v>0</v>
      </c>
      <c r="F236" s="21" t="str">
        <f t="shared" si="30"/>
        <v/>
      </c>
      <c r="G236" s="24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 spans="2:39" x14ac:dyDescent="0.2">
      <c r="B237" s="22" t="str">
        <f>'Wzorzec kategorii'!B199</f>
        <v>.</v>
      </c>
      <c r="C237" s="19">
        <v>0</v>
      </c>
      <c r="D237" s="20">
        <f>SUM(Tabela1923455962350[#This Row])</f>
        <v>0</v>
      </c>
      <c r="E237" s="20">
        <f t="shared" si="29"/>
        <v>0</v>
      </c>
      <c r="F237" s="21" t="str">
        <f t="shared" si="30"/>
        <v/>
      </c>
      <c r="G237" s="24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 spans="2:39" x14ac:dyDescent="0.2">
      <c r="B238" s="22" t="str">
        <f>'Wzorzec kategorii'!B200</f>
        <v>.</v>
      </c>
      <c r="C238" s="19">
        <v>0</v>
      </c>
      <c r="D238" s="20">
        <f>SUM(Tabela1923455962350[#This Row])</f>
        <v>0</v>
      </c>
      <c r="E238" s="20">
        <f t="shared" si="29"/>
        <v>0</v>
      </c>
      <c r="F238" s="53" t="str">
        <f t="shared" si="30"/>
        <v/>
      </c>
      <c r="G238" s="54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</row>
    <row r="239" spans="2:39" x14ac:dyDescent="0.2">
      <c r="B239" s="22" t="str">
        <f>'Wzorzec kategorii'!B201</f>
        <v>.</v>
      </c>
      <c r="C239" s="19">
        <v>0</v>
      </c>
      <c r="D239" s="20">
        <f>SUM(Tabela1923455962350[#This Row])</f>
        <v>0</v>
      </c>
      <c r="E239" s="20">
        <f t="shared" si="29"/>
        <v>0</v>
      </c>
      <c r="F239" s="53" t="str">
        <f t="shared" si="30"/>
        <v/>
      </c>
      <c r="G239" s="54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</row>
    <row r="240" spans="2:39" x14ac:dyDescent="0.2"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</row>
    <row r="241" spans="2:39" x14ac:dyDescent="0.2">
      <c r="B241" s="2" t="str">
        <f>'Wzorzec kategorii'!B203</f>
        <v>INNE 3</v>
      </c>
      <c r="C241" s="3">
        <f>SUM(Tabela1640586061349[[#All],[Kolumna2]])</f>
        <v>0</v>
      </c>
      <c r="D241" s="16">
        <f>SUM(Tabela1640586061349[[#All],[Kolumna3]])</f>
        <v>0</v>
      </c>
      <c r="E241" s="3">
        <f>C241-D241</f>
        <v>0</v>
      </c>
      <c r="F241" s="17" t="str">
        <f>IFERROR(D241/C241,"")</f>
        <v/>
      </c>
      <c r="G241" s="3"/>
      <c r="I241" s="11" t="s">
        <v>44</v>
      </c>
      <c r="J241" s="11" t="s">
        <v>45</v>
      </c>
      <c r="K241" s="11" t="s">
        <v>46</v>
      </c>
      <c r="L241" s="11" t="s">
        <v>47</v>
      </c>
      <c r="M241" s="11" t="s">
        <v>48</v>
      </c>
      <c r="N241" s="11" t="s">
        <v>49</v>
      </c>
      <c r="O241" s="11" t="s">
        <v>50</v>
      </c>
      <c r="P241" s="11" t="s">
        <v>51</v>
      </c>
      <c r="Q241" s="11" t="s">
        <v>52</v>
      </c>
      <c r="R241" s="11" t="s">
        <v>53</v>
      </c>
      <c r="S241" s="11" t="s">
        <v>54</v>
      </c>
      <c r="T241" s="11" t="s">
        <v>55</v>
      </c>
      <c r="U241" s="11" t="s">
        <v>56</v>
      </c>
      <c r="V241" s="11" t="s">
        <v>57</v>
      </c>
      <c r="W241" s="11" t="s">
        <v>58</v>
      </c>
      <c r="X241" s="11" t="s">
        <v>59</v>
      </c>
      <c r="Y241" s="11" t="s">
        <v>60</v>
      </c>
      <c r="Z241" s="11" t="s">
        <v>61</v>
      </c>
      <c r="AA241" s="11" t="s">
        <v>62</v>
      </c>
      <c r="AB241" s="11" t="s">
        <v>63</v>
      </c>
      <c r="AC241" s="11" t="s">
        <v>64</v>
      </c>
      <c r="AD241" s="11" t="s">
        <v>65</v>
      </c>
      <c r="AE241" s="11" t="s">
        <v>66</v>
      </c>
      <c r="AF241" s="11" t="s">
        <v>67</v>
      </c>
      <c r="AG241" s="11" t="s">
        <v>68</v>
      </c>
      <c r="AH241" s="11" t="s">
        <v>69</v>
      </c>
      <c r="AI241" s="11" t="s">
        <v>70</v>
      </c>
      <c r="AJ241" s="11" t="s">
        <v>71</v>
      </c>
      <c r="AK241" s="11" t="s">
        <v>72</v>
      </c>
      <c r="AL241" s="11" t="s">
        <v>73</v>
      </c>
      <c r="AM241" s="11" t="s">
        <v>74</v>
      </c>
    </row>
    <row r="242" spans="2:39" x14ac:dyDescent="0.2">
      <c r="B242" s="22" t="str">
        <f>'Wzorzec kategorii'!B204</f>
        <v>.</v>
      </c>
      <c r="C242" s="19">
        <v>0</v>
      </c>
      <c r="D242" s="20">
        <f>SUM(Tabela1923455963351[#This Row])</f>
        <v>0</v>
      </c>
      <c r="E242" s="20">
        <f t="shared" ref="E242:E251" si="31">C242-D242</f>
        <v>0</v>
      </c>
      <c r="F242" s="21" t="str">
        <f t="shared" ref="F242:F251" si="32">IFERROR(D242/C242,"")</f>
        <v/>
      </c>
      <c r="G242" s="24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2:39" x14ac:dyDescent="0.2">
      <c r="B243" s="22" t="str">
        <f>'Wzorzec kategorii'!B205</f>
        <v>.</v>
      </c>
      <c r="C243" s="19">
        <v>0</v>
      </c>
      <c r="D243" s="20">
        <f>SUM(Tabela1923455963351[#This Row])</f>
        <v>0</v>
      </c>
      <c r="E243" s="20">
        <f t="shared" si="31"/>
        <v>0</v>
      </c>
      <c r="F243" s="21" t="str">
        <f t="shared" si="32"/>
        <v/>
      </c>
      <c r="G243" s="24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 spans="2:39" x14ac:dyDescent="0.2">
      <c r="B244" s="22" t="str">
        <f>'Wzorzec kategorii'!B206</f>
        <v>.</v>
      </c>
      <c r="C244" s="19">
        <v>0</v>
      </c>
      <c r="D244" s="20">
        <f>SUM(Tabela1923455963351[#This Row])</f>
        <v>0</v>
      </c>
      <c r="E244" s="20">
        <f t="shared" si="31"/>
        <v>0</v>
      </c>
      <c r="F244" s="21" t="str">
        <f t="shared" si="32"/>
        <v/>
      </c>
      <c r="G244" s="24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 spans="2:39" x14ac:dyDescent="0.2">
      <c r="B245" s="22" t="str">
        <f>'Wzorzec kategorii'!B207</f>
        <v>.</v>
      </c>
      <c r="C245" s="19">
        <v>0</v>
      </c>
      <c r="D245" s="20">
        <f>SUM(Tabela1923455963351[#This Row])</f>
        <v>0</v>
      </c>
      <c r="E245" s="20">
        <f t="shared" si="31"/>
        <v>0</v>
      </c>
      <c r="F245" s="21" t="str">
        <f t="shared" si="32"/>
        <v/>
      </c>
      <c r="G245" s="24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2:39" x14ac:dyDescent="0.2">
      <c r="B246" s="22" t="str">
        <f>'Wzorzec kategorii'!B208</f>
        <v>.</v>
      </c>
      <c r="C246" s="19">
        <v>0</v>
      </c>
      <c r="D246" s="20">
        <f>SUM(Tabela1923455963351[#This Row])</f>
        <v>0</v>
      </c>
      <c r="E246" s="20">
        <f t="shared" si="31"/>
        <v>0</v>
      </c>
      <c r="F246" s="21" t="str">
        <f t="shared" si="32"/>
        <v/>
      </c>
      <c r="G246" s="24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 spans="2:39" x14ac:dyDescent="0.2">
      <c r="B247" s="22" t="str">
        <f>'Wzorzec kategorii'!B209</f>
        <v>.</v>
      </c>
      <c r="C247" s="19">
        <v>0</v>
      </c>
      <c r="D247" s="20">
        <f>SUM(Tabela1923455963351[#This Row])</f>
        <v>0</v>
      </c>
      <c r="E247" s="20">
        <f t="shared" si="31"/>
        <v>0</v>
      </c>
      <c r="F247" s="21" t="str">
        <f t="shared" si="32"/>
        <v/>
      </c>
      <c r="G247" s="24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</row>
    <row r="248" spans="2:39" x14ac:dyDescent="0.2">
      <c r="B248" s="22" t="str">
        <f>'Wzorzec kategorii'!B210</f>
        <v>.</v>
      </c>
      <c r="C248" s="19">
        <v>0</v>
      </c>
      <c r="D248" s="20">
        <f>SUM(Tabela1923455963351[#This Row])</f>
        <v>0</v>
      </c>
      <c r="E248" s="20">
        <f t="shared" si="31"/>
        <v>0</v>
      </c>
      <c r="F248" s="21" t="str">
        <f t="shared" si="32"/>
        <v/>
      </c>
      <c r="G248" s="24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 spans="2:39" x14ac:dyDescent="0.2">
      <c r="B249" s="22" t="str">
        <f>'Wzorzec kategorii'!B211</f>
        <v>.</v>
      </c>
      <c r="C249" s="19">
        <v>0</v>
      </c>
      <c r="D249" s="20">
        <f>SUM(Tabela1923455963351[#This Row])</f>
        <v>0</v>
      </c>
      <c r="E249" s="20">
        <f t="shared" si="31"/>
        <v>0</v>
      </c>
      <c r="F249" s="21" t="str">
        <f t="shared" si="32"/>
        <v/>
      </c>
      <c r="G249" s="24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 spans="2:39" x14ac:dyDescent="0.2">
      <c r="B250" s="22" t="str">
        <f>'Wzorzec kategorii'!B212</f>
        <v>.</v>
      </c>
      <c r="C250" s="19">
        <v>0</v>
      </c>
      <c r="D250" s="20">
        <f>SUM(Tabela1923455963351[#This Row])</f>
        <v>0</v>
      </c>
      <c r="E250" s="20">
        <f t="shared" si="31"/>
        <v>0</v>
      </c>
      <c r="F250" s="53" t="str">
        <f t="shared" si="32"/>
        <v/>
      </c>
      <c r="G250" s="54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</row>
    <row r="251" spans="2:39" x14ac:dyDescent="0.2">
      <c r="B251" s="22" t="str">
        <f>'Wzorzec kategorii'!B213</f>
        <v>.</v>
      </c>
      <c r="C251" s="19">
        <v>0</v>
      </c>
      <c r="D251" s="20">
        <f>SUM(Tabela1923455963351[#This Row])</f>
        <v>0</v>
      </c>
      <c r="E251" s="20">
        <f t="shared" si="31"/>
        <v>0</v>
      </c>
      <c r="F251" s="53" t="str">
        <f t="shared" si="32"/>
        <v/>
      </c>
      <c r="G251" s="54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</row>
    <row r="252" spans="2:39" x14ac:dyDescent="0.2"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</row>
    <row r="253" spans="2:39" ht="30" x14ac:dyDescent="0.2">
      <c r="C253" s="9" t="s">
        <v>131</v>
      </c>
      <c r="D253" s="10" t="s">
        <v>135</v>
      </c>
      <c r="E253" s="8" t="s">
        <v>129</v>
      </c>
      <c r="I253" s="9" t="s">
        <v>44</v>
      </c>
      <c r="J253" s="9" t="s">
        <v>45</v>
      </c>
      <c r="K253" s="9" t="s">
        <v>46</v>
      </c>
      <c r="L253" s="9" t="s">
        <v>47</v>
      </c>
      <c r="M253" s="9" t="s">
        <v>48</v>
      </c>
      <c r="N253" s="9" t="s">
        <v>49</v>
      </c>
      <c r="O253" s="9" t="s">
        <v>50</v>
      </c>
      <c r="P253" s="9" t="s">
        <v>51</v>
      </c>
      <c r="Q253" s="9" t="s">
        <v>52</v>
      </c>
      <c r="R253" s="9" t="s">
        <v>53</v>
      </c>
      <c r="S253" s="9" t="s">
        <v>54</v>
      </c>
      <c r="T253" s="9" t="s">
        <v>55</v>
      </c>
      <c r="U253" s="9" t="s">
        <v>56</v>
      </c>
      <c r="V253" s="9" t="s">
        <v>57</v>
      </c>
      <c r="W253" s="9" t="s">
        <v>58</v>
      </c>
      <c r="X253" s="9" t="s">
        <v>59</v>
      </c>
      <c r="Y253" s="9" t="s">
        <v>60</v>
      </c>
      <c r="Z253" s="9" t="s">
        <v>61</v>
      </c>
      <c r="AA253" s="9" t="s">
        <v>62</v>
      </c>
      <c r="AB253" s="9" t="s">
        <v>63</v>
      </c>
      <c r="AC253" s="9" t="s">
        <v>64</v>
      </c>
      <c r="AD253" s="9" t="s">
        <v>65</v>
      </c>
      <c r="AE253" s="9" t="s">
        <v>66</v>
      </c>
      <c r="AF253" s="9" t="s">
        <v>67</v>
      </c>
      <c r="AG253" s="9" t="s">
        <v>68</v>
      </c>
      <c r="AH253" s="9" t="s">
        <v>69</v>
      </c>
      <c r="AI253" s="9" t="s">
        <v>70</v>
      </c>
      <c r="AJ253" s="9" t="s">
        <v>71</v>
      </c>
      <c r="AK253" s="9" t="s">
        <v>72</v>
      </c>
      <c r="AL253" s="9" t="s">
        <v>73</v>
      </c>
      <c r="AM253" s="9" t="s">
        <v>74</v>
      </c>
    </row>
    <row r="254" spans="2:39" ht="22" customHeight="1" x14ac:dyDescent="0.2">
      <c r="B254" s="39" t="s">
        <v>31</v>
      </c>
      <c r="C254" s="40">
        <f>C71</f>
        <v>0</v>
      </c>
      <c r="D254" s="40">
        <f>D71</f>
        <v>0</v>
      </c>
      <c r="E254" s="40">
        <f>C254-D254</f>
        <v>0</v>
      </c>
      <c r="G254" s="39" t="s">
        <v>126</v>
      </c>
      <c r="I254" s="43">
        <f>SUM(I73:I251)</f>
        <v>0</v>
      </c>
      <c r="J254" s="43">
        <f>SUM(J73:J251)</f>
        <v>0</v>
      </c>
      <c r="K254" s="43">
        <f>SUM(K73:K251)</f>
        <v>0</v>
      </c>
      <c r="L254" s="43">
        <f t="shared" ref="L254:AM254" si="33">SUM(L73:L251)</f>
        <v>0</v>
      </c>
      <c r="M254" s="43">
        <f t="shared" si="33"/>
        <v>0</v>
      </c>
      <c r="N254" s="43">
        <f t="shared" si="33"/>
        <v>0</v>
      </c>
      <c r="O254" s="43">
        <f t="shared" si="33"/>
        <v>0</v>
      </c>
      <c r="P254" s="43">
        <f t="shared" si="33"/>
        <v>0</v>
      </c>
      <c r="Q254" s="43">
        <f t="shared" si="33"/>
        <v>0</v>
      </c>
      <c r="R254" s="43">
        <f t="shared" si="33"/>
        <v>0</v>
      </c>
      <c r="S254" s="43">
        <f t="shared" si="33"/>
        <v>0</v>
      </c>
      <c r="T254" s="43">
        <f t="shared" si="33"/>
        <v>0</v>
      </c>
      <c r="U254" s="43">
        <f t="shared" si="33"/>
        <v>0</v>
      </c>
      <c r="V254" s="43">
        <f t="shared" si="33"/>
        <v>0</v>
      </c>
      <c r="W254" s="43">
        <f t="shared" si="33"/>
        <v>0</v>
      </c>
      <c r="X254" s="43">
        <f t="shared" si="33"/>
        <v>0</v>
      </c>
      <c r="Y254" s="43">
        <f t="shared" si="33"/>
        <v>0</v>
      </c>
      <c r="Z254" s="43">
        <f t="shared" si="33"/>
        <v>0</v>
      </c>
      <c r="AA254" s="43">
        <f t="shared" si="33"/>
        <v>0</v>
      </c>
      <c r="AB254" s="43">
        <f t="shared" si="33"/>
        <v>0</v>
      </c>
      <c r="AC254" s="43">
        <f t="shared" si="33"/>
        <v>0</v>
      </c>
      <c r="AD254" s="43">
        <f t="shared" si="33"/>
        <v>0</v>
      </c>
      <c r="AE254" s="43">
        <f t="shared" si="33"/>
        <v>0</v>
      </c>
      <c r="AF254" s="43">
        <f t="shared" si="33"/>
        <v>0</v>
      </c>
      <c r="AG254" s="43">
        <f t="shared" si="33"/>
        <v>0</v>
      </c>
      <c r="AH254" s="43">
        <f t="shared" si="33"/>
        <v>0</v>
      </c>
      <c r="AI254" s="43">
        <f t="shared" si="33"/>
        <v>0</v>
      </c>
      <c r="AJ254" s="43">
        <f t="shared" si="33"/>
        <v>0</v>
      </c>
      <c r="AK254" s="43">
        <f t="shared" si="33"/>
        <v>0</v>
      </c>
      <c r="AL254" s="43">
        <f t="shared" si="33"/>
        <v>0</v>
      </c>
      <c r="AM254" s="43">
        <f t="shared" si="33"/>
        <v>0</v>
      </c>
    </row>
    <row r="255" spans="2:39" x14ac:dyDescent="0.2"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</row>
  </sheetData>
  <mergeCells count="27">
    <mergeCell ref="B12:C12"/>
    <mergeCell ref="B2:C2"/>
    <mergeCell ref="D2:E2"/>
    <mergeCell ref="B4:E4"/>
    <mergeCell ref="B9:C9"/>
    <mergeCell ref="B10:C10"/>
    <mergeCell ref="C32:D32"/>
    <mergeCell ref="B16:C16"/>
    <mergeCell ref="B17:C17"/>
    <mergeCell ref="B19:C19"/>
    <mergeCell ref="B21:E21"/>
    <mergeCell ref="B23:D23"/>
    <mergeCell ref="B25:E25"/>
    <mergeCell ref="C27:D27"/>
    <mergeCell ref="C28:D28"/>
    <mergeCell ref="C29:D29"/>
    <mergeCell ref="C30:D30"/>
    <mergeCell ref="C31:D31"/>
    <mergeCell ref="C39:D39"/>
    <mergeCell ref="C40:D40"/>
    <mergeCell ref="C41:D41"/>
    <mergeCell ref="C33:D33"/>
    <mergeCell ref="C34:D34"/>
    <mergeCell ref="C35:D35"/>
    <mergeCell ref="C36:D36"/>
    <mergeCell ref="C37:D37"/>
    <mergeCell ref="C38:D38"/>
  </mergeCells>
  <conditionalFormatting sqref="D73">
    <cfRule type="dataBar" priority="29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{846F53AC-8F80-1541-81BF-F37839677AF8}</x14:id>
        </ext>
      </extLst>
    </cfRule>
  </conditionalFormatting>
  <conditionalFormatting sqref="D85">
    <cfRule type="dataBar" priority="28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{0CAFF2C8-78B5-C946-860B-9FADC855BE16}</x14:id>
        </ext>
      </extLst>
    </cfRule>
  </conditionalFormatting>
  <conditionalFormatting sqref="B23:D23">
    <cfRule type="dataBar" priority="27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{4791D3B7-E372-5845-9ADD-7EC864D81F56}</x14:id>
        </ext>
      </extLst>
    </cfRule>
  </conditionalFormatting>
  <conditionalFormatting sqref="C27:D27">
    <cfRule type="dataBar" priority="26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{E3588EA8-3267-6C45-9530-139F6A3B93CE}</x14:id>
        </ext>
      </extLst>
    </cfRule>
  </conditionalFormatting>
  <conditionalFormatting sqref="D97">
    <cfRule type="dataBar" priority="25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{F1847FB3-2E67-E04A-BAA2-FCC77D3CF6C5}</x14:id>
        </ext>
      </extLst>
    </cfRule>
  </conditionalFormatting>
  <conditionalFormatting sqref="C28:D28">
    <cfRule type="dataBar" priority="24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{225DD099-1B60-DD44-9097-FDF46B958A1B}</x14:id>
        </ext>
      </extLst>
    </cfRule>
  </conditionalFormatting>
  <conditionalFormatting sqref="C29:D29">
    <cfRule type="dataBar" priority="23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{96BA67C8-204E-F642-8173-2D70A1993899}</x14:id>
        </ext>
      </extLst>
    </cfRule>
  </conditionalFormatting>
  <conditionalFormatting sqref="C30:D30">
    <cfRule type="dataBar" priority="22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{9F2CCC72-FD4C-8A48-B1EB-5F80CA4B525E}</x14:id>
        </ext>
      </extLst>
    </cfRule>
  </conditionalFormatting>
  <conditionalFormatting sqref="C31:D31">
    <cfRule type="dataBar" priority="21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{BDA9387E-F84B-2042-B2F1-4A2832259EA7}</x14:id>
        </ext>
      </extLst>
    </cfRule>
  </conditionalFormatting>
  <conditionalFormatting sqref="C32:D32">
    <cfRule type="dataBar" priority="20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{9A921D07-681C-B44D-A294-BFAA30634080}</x14:id>
        </ext>
      </extLst>
    </cfRule>
  </conditionalFormatting>
  <conditionalFormatting sqref="C33:D33">
    <cfRule type="dataBar" priority="19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{55A28C4F-2D39-7F47-A789-57436F6F65C0}</x14:id>
        </ext>
      </extLst>
    </cfRule>
  </conditionalFormatting>
  <conditionalFormatting sqref="C34:D34">
    <cfRule type="dataBar" priority="18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{A0672F17-2525-144F-844D-074804460E73}</x14:id>
        </ext>
      </extLst>
    </cfRule>
  </conditionalFormatting>
  <conditionalFormatting sqref="C35:D35">
    <cfRule type="dataBar" priority="17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{EDFFD9F2-32E9-FB42-A9D0-BC1260486E41}</x14:id>
        </ext>
      </extLst>
    </cfRule>
  </conditionalFormatting>
  <conditionalFormatting sqref="C36:D36">
    <cfRule type="dataBar" priority="16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{DE101FB5-DED2-5B40-BD32-92D07657C70B}</x14:id>
        </ext>
      </extLst>
    </cfRule>
  </conditionalFormatting>
  <conditionalFormatting sqref="C37:D37">
    <cfRule type="dataBar" priority="15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{236A66E7-7C6B-A142-92D1-A1BA822094FF}</x14:id>
        </ext>
      </extLst>
    </cfRule>
  </conditionalFormatting>
  <conditionalFormatting sqref="C38:D41">
    <cfRule type="dataBar" priority="14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{364ED521-DF4F-4F40-89D4-C5BCF8CCE97E}</x14:id>
        </ext>
      </extLst>
    </cfRule>
  </conditionalFormatting>
  <conditionalFormatting sqref="D109">
    <cfRule type="dataBar" priority="13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{CD22218A-AEFB-E941-B418-C954998AD832}</x14:id>
        </ext>
      </extLst>
    </cfRule>
  </conditionalFormatting>
  <conditionalFormatting sqref="D121">
    <cfRule type="dataBar" priority="12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{2CB9A3A8-4ECB-1446-A46F-42E071D8EA87}</x14:id>
        </ext>
      </extLst>
    </cfRule>
  </conditionalFormatting>
  <conditionalFormatting sqref="D133">
    <cfRule type="dataBar" priority="11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{CA3D3A06-1CE6-7048-93BD-04879102259A}</x14:id>
        </ext>
      </extLst>
    </cfRule>
  </conditionalFormatting>
  <conditionalFormatting sqref="D145">
    <cfRule type="dataBar" priority="10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{9E2D29F7-70FA-C347-938F-FC8A85A3BA3F}</x14:id>
        </ext>
      </extLst>
    </cfRule>
  </conditionalFormatting>
  <conditionalFormatting sqref="D157">
    <cfRule type="dataBar" priority="9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{2F2C98E1-EA78-9547-BC05-2F5C7208725F}</x14:id>
        </ext>
      </extLst>
    </cfRule>
  </conditionalFormatting>
  <conditionalFormatting sqref="D169">
    <cfRule type="dataBar" priority="8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{E9FBEDD3-22C5-6B4D-8144-812BB3AA9169}</x14:id>
        </ext>
      </extLst>
    </cfRule>
  </conditionalFormatting>
  <conditionalFormatting sqref="D181">
    <cfRule type="dataBar" priority="7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{C00758F9-D9CF-744C-AA25-F80DB73250A5}</x14:id>
        </ext>
      </extLst>
    </cfRule>
  </conditionalFormatting>
  <conditionalFormatting sqref="D193">
    <cfRule type="dataBar" priority="6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{E07FBAA9-6C57-F84B-BC94-E42579E5A311}</x14:id>
        </ext>
      </extLst>
    </cfRule>
  </conditionalFormatting>
  <conditionalFormatting sqref="D205">
    <cfRule type="dataBar" priority="5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{1951441D-1283-884E-BC83-3FDDD2A31B04}</x14:id>
        </ext>
      </extLst>
    </cfRule>
  </conditionalFormatting>
  <conditionalFormatting sqref="D51">
    <cfRule type="dataBar" priority="4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{0B0968E4-83DE-074F-880E-137C510A03AC}</x14:id>
        </ext>
      </extLst>
    </cfRule>
  </conditionalFormatting>
  <conditionalFormatting sqref="D217">
    <cfRule type="dataBar" priority="3">
      <dataBar>
        <cfvo type="num" val="0"/>
        <cfvo type="formula" val="$C$217"/>
        <color rgb="FF92D050"/>
      </dataBar>
      <extLst>
        <ext xmlns:x14="http://schemas.microsoft.com/office/spreadsheetml/2009/9/main" uri="{B025F937-C7B1-47D3-B67F-A62EFF666E3E}">
          <x14:id>{CC40682B-E71F-8746-9E86-970F45B52863}</x14:id>
        </ext>
      </extLst>
    </cfRule>
  </conditionalFormatting>
  <conditionalFormatting sqref="D229">
    <cfRule type="dataBar" priority="2">
      <dataBar>
        <cfvo type="num" val="0"/>
        <cfvo type="formula" val="$C$229"/>
        <color rgb="FF92D050"/>
      </dataBar>
      <extLst>
        <ext xmlns:x14="http://schemas.microsoft.com/office/spreadsheetml/2009/9/main" uri="{B025F937-C7B1-47D3-B67F-A62EFF666E3E}">
          <x14:id>{ADED993A-C20A-9841-AC81-384053698BEE}</x14:id>
        </ext>
      </extLst>
    </cfRule>
  </conditionalFormatting>
  <conditionalFormatting sqref="D241">
    <cfRule type="dataBar" priority="1">
      <dataBar>
        <cfvo type="num" val="0"/>
        <cfvo type="formula" val="$C$241"/>
        <color rgb="FF92D050"/>
      </dataBar>
      <extLst>
        <ext xmlns:x14="http://schemas.microsoft.com/office/spreadsheetml/2009/9/main" uri="{B025F937-C7B1-47D3-B67F-A62EFF666E3E}">
          <x14:id>{44931CB3-D12E-A244-80D8-B66A3B7BF588}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46F53AC-8F80-1541-81BF-F37839677AF8}">
            <x14:dataBar minLength="0" maxLength="100" gradient="0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0CAFF2C8-78B5-C946-860B-9FADC855BE16}">
            <x14:dataBar minLength="0" maxLength="100" gradient="0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4791D3B7-E372-5845-9ADD-7EC864D81F56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E3588EA8-3267-6C45-9530-139F6A3B93CE}">
            <x14:dataBar minLength="0" maxLength="100" gradient="0" direction="leftToRight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F1847FB3-2E67-E04A-BAA2-FCC77D3CF6C5}">
            <x14:dataBar minLength="0" maxLength="100" gradient="0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225DD099-1B60-DD44-9097-FDF46B958A1B}">
            <x14:dataBar minLength="0" maxLength="100" gradient="0" direction="leftToRight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96BA67C8-204E-F642-8173-2D70A1993899}">
            <x14:dataBar minLength="0" maxLength="100" gradient="0" direction="leftToRight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9F2CCC72-FD4C-8A48-B1EB-5F80CA4B525E}">
            <x14:dataBar minLength="0" maxLength="100" gradient="0" direction="leftToRight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BDA9387E-F84B-2042-B2F1-4A2832259EA7}">
            <x14:dataBar minLength="0" maxLength="100" gradient="0" direction="leftToRight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9A921D07-681C-B44D-A294-BFAA30634080}">
            <x14:dataBar minLength="0" maxLength="100" gradient="0" direction="leftToRight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55A28C4F-2D39-7F47-A789-57436F6F65C0}">
            <x14:dataBar minLength="0" maxLength="100" gradient="0" direction="leftToRight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A0672F17-2525-144F-844D-074804460E73}">
            <x14:dataBar minLength="0" maxLength="100" gradient="0" direction="leftToRight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EDFFD9F2-32E9-FB42-A9D0-BC1260486E41}">
            <x14:dataBar minLength="0" maxLength="100" gradient="0" direction="leftToRight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DE101FB5-DED2-5B40-BD32-92D07657C70B}">
            <x14:dataBar minLength="0" maxLength="100" gradient="0" direction="leftToRight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236A66E7-7C6B-A142-92D1-A1BA822094FF}">
            <x14:dataBar minLength="0" maxLength="100" gradient="0" direction="leftToRight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364ED521-DF4F-4F40-89D4-C5BCF8CCE97E}">
            <x14:dataBar minLength="0" maxLength="100" gradient="0" direction="leftToRight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C38:D41</xm:sqref>
        </x14:conditionalFormatting>
        <x14:conditionalFormatting xmlns:xm="http://schemas.microsoft.com/office/excel/2006/main">
          <x14:cfRule type="dataBar" id="{CD22218A-AEFB-E941-B418-C954998AD832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D109</xm:sqref>
        </x14:conditionalFormatting>
        <x14:conditionalFormatting xmlns:xm="http://schemas.microsoft.com/office/excel/2006/main">
          <x14:cfRule type="dataBar" id="{2CB9A3A8-4ECB-1446-A46F-42E071D8EA87}">
            <x14:dataBar minLength="0" maxLength="100" gradient="0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D121</xm:sqref>
        </x14:conditionalFormatting>
        <x14:conditionalFormatting xmlns:xm="http://schemas.microsoft.com/office/excel/2006/main">
          <x14:cfRule type="dataBar" id="{CA3D3A06-1CE6-7048-93BD-04879102259A}">
            <x14:dataBar minLength="0" maxLength="100" gradient="0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9E2D29F7-70FA-C347-938F-FC8A85A3BA3F}">
            <x14:dataBar minLength="0" maxLength="100" gradient="0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2F2C98E1-EA78-9547-BC05-2F5C7208725F}">
            <x14:dataBar minLength="0" maxLength="100" gradient="0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E9FBEDD3-22C5-6B4D-8144-812BB3AA9169}">
            <x14:dataBar minLength="0" maxLength="100" gradient="0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C00758F9-D9CF-744C-AA25-F80DB73250A5}">
            <x14:dataBar minLength="0" maxLength="100" gradient="0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E07FBAA9-6C57-F84B-BC94-E42579E5A311}">
            <x14:dataBar minLength="0" maxLength="100" gradient="0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D193</xm:sqref>
        </x14:conditionalFormatting>
        <x14:conditionalFormatting xmlns:xm="http://schemas.microsoft.com/office/excel/2006/main">
          <x14:cfRule type="dataBar" id="{1951441D-1283-884E-BC83-3FDDD2A31B04}">
            <x14:dataBar minLength="0" maxLength="100" gradient="0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D205</xm:sqref>
        </x14:conditionalFormatting>
        <x14:conditionalFormatting xmlns:xm="http://schemas.microsoft.com/office/excel/2006/main">
          <x14:cfRule type="dataBar" id="{0B0968E4-83DE-074F-880E-137C510A03AC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CC40682B-E71F-8746-9E86-970F45B52863}">
            <x14:dataBar minLength="0" maxLength="100" gradient="0">
              <x14:cfvo type="num">
                <xm:f>0</xm:f>
              </x14:cfvo>
              <x14:cfvo type="formula">
                <xm:f>$C$217</xm:f>
              </x14:cfvo>
              <x14:negativeFillColor rgb="FFFF0000"/>
              <x14:axisColor rgb="FF000000"/>
            </x14:dataBar>
          </x14:cfRule>
          <xm:sqref>D217</xm:sqref>
        </x14:conditionalFormatting>
        <x14:conditionalFormatting xmlns:xm="http://schemas.microsoft.com/office/excel/2006/main">
          <x14:cfRule type="dataBar" id="{ADED993A-C20A-9841-AC81-384053698BEE}">
            <x14:dataBar minLength="0" maxLength="100" gradient="0">
              <x14:cfvo type="num">
                <xm:f>0</xm:f>
              </x14:cfvo>
              <x14:cfvo type="formula">
                <xm:f>$C$229</xm:f>
              </x14:cfvo>
              <x14:negativeFillColor rgb="FFFF0000"/>
              <x14:axisColor rgb="FF000000"/>
            </x14:dataBar>
          </x14:cfRule>
          <xm:sqref>D229</xm:sqref>
        </x14:conditionalFormatting>
        <x14:conditionalFormatting xmlns:xm="http://schemas.microsoft.com/office/excel/2006/main">
          <x14:cfRule type="dataBar" id="{44931CB3-D12E-A244-80D8-B66A3B7BF588}">
            <x14:dataBar minLength="0" maxLength="100" gradient="0">
              <x14:cfvo type="num">
                <xm:f>0</xm:f>
              </x14:cfvo>
              <x14:cfvo type="formula">
                <xm:f>$C$241</xm:f>
              </x14:cfvo>
              <x14:negativeFillColor rgb="FFFF0000"/>
              <x14:axisColor rgb="FF000000"/>
            </x14:dataBar>
          </x14:cfRule>
          <xm:sqref>D241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 enableFormatConditionsCalculation="0"/>
  <dimension ref="B2:AO255"/>
  <sheetViews>
    <sheetView showGridLines="0" workbookViewId="0">
      <pane xSplit="8" topLeftCell="I1" activePane="topRight" state="frozen"/>
      <selection activeCell="A12" sqref="A12"/>
      <selection pane="topRight" activeCell="I2" sqref="I2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  <col min="9" max="39" width="11.33203125" customWidth="1"/>
  </cols>
  <sheetData>
    <row r="2" spans="2:7" ht="24" x14ac:dyDescent="0.3">
      <c r="B2" s="66" t="s">
        <v>130</v>
      </c>
      <c r="C2" s="66"/>
      <c r="D2" s="67" t="s">
        <v>169</v>
      </c>
      <c r="E2" s="68"/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69" t="s">
        <v>144</v>
      </c>
      <c r="C4" s="70"/>
      <c r="D4" s="70"/>
      <c r="E4" s="70"/>
    </row>
    <row r="5" spans="2:7" outlineLevel="1" x14ac:dyDescent="0.2">
      <c r="B5" s="41" t="s">
        <v>147</v>
      </c>
      <c r="C5" s="45" t="s">
        <v>148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132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62" t="s">
        <v>127</v>
      </c>
      <c r="C9" s="62"/>
      <c r="D9" s="34">
        <f>C49</f>
        <v>0</v>
      </c>
      <c r="E9" s="18"/>
    </row>
    <row r="10" spans="2:7" x14ac:dyDescent="0.2">
      <c r="B10" s="62" t="s">
        <v>131</v>
      </c>
      <c r="C10" s="62"/>
      <c r="D10" s="34">
        <f>C71</f>
        <v>0</v>
      </c>
      <c r="E10" s="18"/>
    </row>
    <row r="11" spans="2:7" x14ac:dyDescent="0.2">
      <c r="B11" s="48"/>
      <c r="C11" s="48"/>
      <c r="D11" s="31"/>
      <c r="E11" s="18"/>
    </row>
    <row r="12" spans="2:7" ht="30" customHeight="1" x14ac:dyDescent="0.2">
      <c r="B12" s="63" t="s">
        <v>133</v>
      </c>
      <c r="C12" s="63"/>
      <c r="D12" s="36">
        <f>D9-D10</f>
        <v>0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134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62" t="s">
        <v>128</v>
      </c>
      <c r="C16" s="62"/>
      <c r="D16" s="28">
        <f>D49</f>
        <v>0</v>
      </c>
      <c r="E16" s="18"/>
    </row>
    <row r="17" spans="2:5" x14ac:dyDescent="0.2">
      <c r="B17" s="62" t="s">
        <v>135</v>
      </c>
      <c r="C17" s="62"/>
      <c r="D17" s="28">
        <f>D71</f>
        <v>0</v>
      </c>
      <c r="E17" s="18"/>
    </row>
    <row r="18" spans="2:5" x14ac:dyDescent="0.2">
      <c r="B18" s="48"/>
      <c r="C18" s="48"/>
      <c r="D18" s="28"/>
      <c r="E18" s="18"/>
    </row>
    <row r="19" spans="2:5" ht="30" customHeight="1" x14ac:dyDescent="0.2">
      <c r="B19" s="63" t="s">
        <v>136</v>
      </c>
      <c r="C19" s="63"/>
      <c r="D19" s="36">
        <f>D16-D17</f>
        <v>0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64" t="s">
        <v>137</v>
      </c>
      <c r="C21" s="64"/>
      <c r="D21" s="64"/>
      <c r="E21" s="64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60">
        <f>D17</f>
        <v>0</v>
      </c>
      <c r="C23" s="65"/>
      <c r="D23" s="61"/>
      <c r="E23" s="38" t="str">
        <f>IFERROR(D17/D16,"")</f>
        <v/>
      </c>
    </row>
    <row r="24" spans="2:5" ht="18" x14ac:dyDescent="0.2">
      <c r="B24" s="29"/>
      <c r="D24" s="30"/>
      <c r="E24" s="18"/>
    </row>
    <row r="25" spans="2:5" x14ac:dyDescent="0.2">
      <c r="B25" s="64" t="s">
        <v>138</v>
      </c>
      <c r="C25" s="64"/>
      <c r="D25" s="64"/>
      <c r="E25" s="64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B73</f>
        <v>Jedzenie</v>
      </c>
      <c r="C27" s="60">
        <f>D73</f>
        <v>0</v>
      </c>
      <c r="D27" s="72"/>
      <c r="E27" s="38" t="str">
        <f>IFERROR(D73/C73,"")</f>
        <v/>
      </c>
    </row>
    <row r="28" spans="2:5" ht="18" customHeight="1" x14ac:dyDescent="0.2">
      <c r="B28" s="29" t="str">
        <f>B85</f>
        <v>Mieszkanie / dom</v>
      </c>
      <c r="C28" s="60">
        <f>D85</f>
        <v>0</v>
      </c>
      <c r="D28" s="61"/>
      <c r="E28" s="38" t="str">
        <f>IFERROR(D85/C85,"")</f>
        <v/>
      </c>
    </row>
    <row r="29" spans="2:5" ht="18" customHeight="1" x14ac:dyDescent="0.2">
      <c r="B29" s="29" t="str">
        <f>B97</f>
        <v>Transport</v>
      </c>
      <c r="C29" s="60">
        <f>D97</f>
        <v>0</v>
      </c>
      <c r="D29" s="61"/>
      <c r="E29" s="38" t="str">
        <f>IFERROR(D97/C97,"")</f>
        <v/>
      </c>
    </row>
    <row r="30" spans="2:5" ht="18" customHeight="1" x14ac:dyDescent="0.2">
      <c r="B30" s="29" t="str">
        <f>B109</f>
        <v>Telekomunikacja</v>
      </c>
      <c r="C30" s="60">
        <f>D109</f>
        <v>0</v>
      </c>
      <c r="D30" s="61"/>
      <c r="E30" s="38" t="str">
        <f>IFERROR(D109/C109,"")</f>
        <v/>
      </c>
    </row>
    <row r="31" spans="2:5" ht="18" customHeight="1" x14ac:dyDescent="0.2">
      <c r="B31" s="29" t="str">
        <f>B121</f>
        <v>Opieka zdrowotna</v>
      </c>
      <c r="C31" s="60">
        <f>D121</f>
        <v>0</v>
      </c>
      <c r="D31" s="61"/>
      <c r="E31" s="38" t="str">
        <f>IFERROR(D121/C121,"")</f>
        <v/>
      </c>
    </row>
    <row r="32" spans="2:5" ht="18" customHeight="1" x14ac:dyDescent="0.2">
      <c r="B32" s="29" t="str">
        <f>B133</f>
        <v>Ubranie</v>
      </c>
      <c r="C32" s="60">
        <f>D133</f>
        <v>0</v>
      </c>
      <c r="D32" s="61"/>
      <c r="E32" s="38" t="str">
        <f>IFERROR(D133/C133,"")</f>
        <v/>
      </c>
    </row>
    <row r="33" spans="2:9" ht="18" customHeight="1" x14ac:dyDescent="0.2">
      <c r="B33" s="29" t="str">
        <f>B145</f>
        <v>Higiena</v>
      </c>
      <c r="C33" s="60">
        <f>D145</f>
        <v>0</v>
      </c>
      <c r="D33" s="61"/>
      <c r="E33" s="38" t="str">
        <f>IFERROR(D145/C145,"")</f>
        <v/>
      </c>
    </row>
    <row r="34" spans="2:9" ht="18" customHeight="1" x14ac:dyDescent="0.2">
      <c r="B34" s="29" t="str">
        <f>B157</f>
        <v>Dzieci</v>
      </c>
      <c r="C34" s="60">
        <f>D157</f>
        <v>0</v>
      </c>
      <c r="D34" s="61"/>
      <c r="E34" s="38" t="str">
        <f>IFERROR(D157/C157,"")</f>
        <v/>
      </c>
    </row>
    <row r="35" spans="2:9" ht="18" customHeight="1" x14ac:dyDescent="0.2">
      <c r="B35" s="29" t="str">
        <f>B169</f>
        <v>Rozrywka</v>
      </c>
      <c r="C35" s="60">
        <f>D169</f>
        <v>0</v>
      </c>
      <c r="D35" s="61"/>
      <c r="E35" s="38" t="str">
        <f>IFERROR(D169/C169,"")</f>
        <v/>
      </c>
    </row>
    <row r="36" spans="2:9" ht="18" customHeight="1" x14ac:dyDescent="0.2">
      <c r="B36" s="29" t="str">
        <f>B181</f>
        <v>Inne wydatki</v>
      </c>
      <c r="C36" s="60">
        <f>D181</f>
        <v>0</v>
      </c>
      <c r="D36" s="61"/>
      <c r="E36" s="38" t="str">
        <f>IFERROR(D181/C181,"")</f>
        <v/>
      </c>
    </row>
    <row r="37" spans="2:9" ht="18" customHeight="1" x14ac:dyDescent="0.2">
      <c r="B37" s="29" t="str">
        <f>B193</f>
        <v>Spłata długów</v>
      </c>
      <c r="C37" s="60">
        <f>D193</f>
        <v>0</v>
      </c>
      <c r="D37" s="61"/>
      <c r="E37" s="38" t="str">
        <f>IFERROR(D193/C193,"")</f>
        <v/>
      </c>
    </row>
    <row r="38" spans="2:9" ht="18" customHeight="1" x14ac:dyDescent="0.2">
      <c r="B38" s="29" t="str">
        <f>B205</f>
        <v>Budowanie oszczędności</v>
      </c>
      <c r="C38" s="60">
        <f>D205</f>
        <v>0</v>
      </c>
      <c r="D38" s="61"/>
      <c r="E38" s="38" t="str">
        <f>IFERROR(D205/C205,"")</f>
        <v/>
      </c>
    </row>
    <row r="39" spans="2:9" ht="18" customHeight="1" x14ac:dyDescent="0.2">
      <c r="B39" s="29" t="str">
        <f>B217</f>
        <v>INNE 1</v>
      </c>
      <c r="C39" s="60">
        <f>D217</f>
        <v>0</v>
      </c>
      <c r="D39" s="61"/>
      <c r="E39" s="38" t="str">
        <f>IFERROR(D217/C217,"")</f>
        <v/>
      </c>
    </row>
    <row r="40" spans="2:9" ht="18" customHeight="1" x14ac:dyDescent="0.2">
      <c r="B40" s="29" t="str">
        <f>B229</f>
        <v>INNE 2</v>
      </c>
      <c r="C40" s="60">
        <f>D229</f>
        <v>0</v>
      </c>
      <c r="D40" s="72"/>
      <c r="E40" s="38" t="str">
        <f>IFERROR(D229/C229,"")</f>
        <v/>
      </c>
    </row>
    <row r="41" spans="2:9" ht="18" customHeight="1" x14ac:dyDescent="0.2">
      <c r="B41" s="29" t="str">
        <f>B241</f>
        <v>INNE 3</v>
      </c>
      <c r="C41" s="60">
        <f>D241</f>
        <v>0</v>
      </c>
      <c r="D41" s="72"/>
      <c r="E41" s="38" t="str">
        <f>IFERROR(D241/C241,"")</f>
        <v/>
      </c>
    </row>
    <row r="42" spans="2:9" ht="18" x14ac:dyDescent="0.2">
      <c r="B42" s="29"/>
      <c r="D42" s="30"/>
      <c r="E42" s="18"/>
    </row>
    <row r="43" spans="2:9" x14ac:dyDescent="0.2">
      <c r="B43" s="18"/>
      <c r="C43" s="18"/>
      <c r="D43" s="18"/>
      <c r="E43" s="18"/>
    </row>
    <row r="44" spans="2:9" ht="22" thickBot="1" x14ac:dyDescent="0.3">
      <c r="B44" s="32" t="s">
        <v>42</v>
      </c>
      <c r="C44" s="33"/>
      <c r="D44" s="33"/>
      <c r="E44" s="33"/>
      <c r="F44" s="33"/>
      <c r="G44" s="33"/>
    </row>
    <row r="46" spans="2:9" ht="21" x14ac:dyDescent="0.25">
      <c r="B46" s="44" t="s">
        <v>26</v>
      </c>
      <c r="I46" s="7" t="s">
        <v>43</v>
      </c>
    </row>
    <row r="47" spans="2:9" x14ac:dyDescent="0.2">
      <c r="B47" s="1"/>
    </row>
    <row r="48" spans="2:9" ht="30" x14ac:dyDescent="0.2">
      <c r="B48" s="8" t="s">
        <v>0</v>
      </c>
      <c r="C48" s="9" t="s">
        <v>127</v>
      </c>
      <c r="D48" s="10" t="s">
        <v>128</v>
      </c>
      <c r="E48" s="8" t="s">
        <v>129</v>
      </c>
      <c r="F48" s="9" t="s">
        <v>140</v>
      </c>
      <c r="G48" s="8" t="s">
        <v>41</v>
      </c>
      <c r="I48" s="41" t="s">
        <v>159</v>
      </c>
    </row>
    <row r="49" spans="2:39" ht="26" customHeight="1" x14ac:dyDescent="0.2">
      <c r="B49" s="39" t="s">
        <v>139</v>
      </c>
      <c r="C49" s="40">
        <f>C51</f>
        <v>0</v>
      </c>
      <c r="D49" s="40">
        <f>D51</f>
        <v>0</v>
      </c>
      <c r="E49" s="40">
        <f>D49-C49</f>
        <v>0</v>
      </c>
      <c r="F49" s="8" t="s">
        <v>141</v>
      </c>
      <c r="G49" s="8"/>
      <c r="I49" s="43">
        <f>SUM(I52:I67)</f>
        <v>0</v>
      </c>
      <c r="J49" s="43">
        <f>SUM(J52:J67)</f>
        <v>0</v>
      </c>
      <c r="K49" s="43">
        <f t="shared" ref="K49:AM49" si="0">SUM(K52:K67)</f>
        <v>0</v>
      </c>
      <c r="L49" s="43">
        <f t="shared" si="0"/>
        <v>0</v>
      </c>
      <c r="M49" s="43">
        <f t="shared" si="0"/>
        <v>0</v>
      </c>
      <c r="N49" s="43">
        <f t="shared" si="0"/>
        <v>0</v>
      </c>
      <c r="O49" s="43">
        <f t="shared" si="0"/>
        <v>0</v>
      </c>
      <c r="P49" s="43">
        <f t="shared" si="0"/>
        <v>0</v>
      </c>
      <c r="Q49" s="43">
        <f t="shared" si="0"/>
        <v>0</v>
      </c>
      <c r="R49" s="43">
        <f t="shared" si="0"/>
        <v>0</v>
      </c>
      <c r="S49" s="43">
        <f t="shared" si="0"/>
        <v>0</v>
      </c>
      <c r="T49" s="43">
        <f t="shared" si="0"/>
        <v>0</v>
      </c>
      <c r="U49" s="43">
        <f t="shared" si="0"/>
        <v>0</v>
      </c>
      <c r="V49" s="43">
        <f t="shared" si="0"/>
        <v>0</v>
      </c>
      <c r="W49" s="43">
        <f t="shared" si="0"/>
        <v>0</v>
      </c>
      <c r="X49" s="43">
        <f t="shared" si="0"/>
        <v>0</v>
      </c>
      <c r="Y49" s="43">
        <f t="shared" si="0"/>
        <v>0</v>
      </c>
      <c r="Z49" s="43">
        <f t="shared" si="0"/>
        <v>0</v>
      </c>
      <c r="AA49" s="43">
        <f t="shared" si="0"/>
        <v>0</v>
      </c>
      <c r="AB49" s="43">
        <f t="shared" si="0"/>
        <v>0</v>
      </c>
      <c r="AC49" s="43">
        <f t="shared" si="0"/>
        <v>0</v>
      </c>
      <c r="AD49" s="43">
        <f t="shared" si="0"/>
        <v>0</v>
      </c>
      <c r="AE49" s="43">
        <f t="shared" si="0"/>
        <v>0</v>
      </c>
      <c r="AF49" s="43">
        <f t="shared" si="0"/>
        <v>0</v>
      </c>
      <c r="AG49" s="43">
        <f t="shared" si="0"/>
        <v>0</v>
      </c>
      <c r="AH49" s="43">
        <f t="shared" si="0"/>
        <v>0</v>
      </c>
      <c r="AI49" s="43">
        <f t="shared" si="0"/>
        <v>0</v>
      </c>
      <c r="AJ49" s="43">
        <f t="shared" si="0"/>
        <v>0</v>
      </c>
      <c r="AK49" s="43">
        <f t="shared" si="0"/>
        <v>0</v>
      </c>
      <c r="AL49" s="43">
        <f t="shared" si="0"/>
        <v>0</v>
      </c>
      <c r="AM49" s="43">
        <f t="shared" si="0"/>
        <v>0</v>
      </c>
    </row>
    <row r="50" spans="2:39" x14ac:dyDescent="0.2">
      <c r="B50" s="1"/>
    </row>
    <row r="51" spans="2:39" x14ac:dyDescent="0.2">
      <c r="B51" s="14" t="str">
        <f>'Wzorzec kategorii'!B14</f>
        <v>Całkowite przychody</v>
      </c>
      <c r="C51" s="15">
        <f>SUM(Tabela718368[[#All],[Kolumna2]])</f>
        <v>0</v>
      </c>
      <c r="D51" s="16">
        <f>SUM(Tabela718368[[#All],[Kolumna3]])</f>
        <v>0</v>
      </c>
      <c r="E51" s="15">
        <f>D51-C51</f>
        <v>0</v>
      </c>
      <c r="F51" s="17" t="str">
        <f>IFERROR(D51/C51,"")</f>
        <v/>
      </c>
      <c r="G51" s="15"/>
      <c r="I51" s="11" t="s">
        <v>44</v>
      </c>
      <c r="J51" s="11" t="s">
        <v>45</v>
      </c>
      <c r="K51" s="11" t="s">
        <v>46</v>
      </c>
      <c r="L51" s="11" t="s">
        <v>47</v>
      </c>
      <c r="M51" s="11" t="s">
        <v>48</v>
      </c>
      <c r="N51" s="11" t="s">
        <v>49</v>
      </c>
      <c r="O51" s="11" t="s">
        <v>50</v>
      </c>
      <c r="P51" s="11" t="s">
        <v>51</v>
      </c>
      <c r="Q51" s="11" t="s">
        <v>52</v>
      </c>
      <c r="R51" s="11" t="s">
        <v>53</v>
      </c>
      <c r="S51" s="11" t="s">
        <v>54</v>
      </c>
      <c r="T51" s="11" t="s">
        <v>55</v>
      </c>
      <c r="U51" s="11" t="s">
        <v>56</v>
      </c>
      <c r="V51" s="11" t="s">
        <v>57</v>
      </c>
      <c r="W51" s="11" t="s">
        <v>58</v>
      </c>
      <c r="X51" s="11" t="s">
        <v>59</v>
      </c>
      <c r="Y51" s="11" t="s">
        <v>60</v>
      </c>
      <c r="Z51" s="11" t="s">
        <v>61</v>
      </c>
      <c r="AA51" s="11" t="s">
        <v>62</v>
      </c>
      <c r="AB51" s="11" t="s">
        <v>63</v>
      </c>
      <c r="AC51" s="11" t="s">
        <v>64</v>
      </c>
      <c r="AD51" s="11" t="s">
        <v>65</v>
      </c>
      <c r="AE51" s="11" t="s">
        <v>66</v>
      </c>
      <c r="AF51" s="11" t="s">
        <v>67</v>
      </c>
      <c r="AG51" s="11" t="s">
        <v>68</v>
      </c>
      <c r="AH51" s="11" t="s">
        <v>69</v>
      </c>
      <c r="AI51" s="11" t="s">
        <v>70</v>
      </c>
      <c r="AJ51" s="11" t="s">
        <v>71</v>
      </c>
      <c r="AK51" s="11" t="s">
        <v>72</v>
      </c>
      <c r="AL51" s="11" t="s">
        <v>73</v>
      </c>
      <c r="AM51" s="11" t="s">
        <v>74</v>
      </c>
    </row>
    <row r="52" spans="2:39" x14ac:dyDescent="0.2">
      <c r="B52" s="22" t="str">
        <f>'Wzorzec kategorii'!B15</f>
        <v>Wynagrodzenie</v>
      </c>
      <c r="C52" s="19">
        <v>0</v>
      </c>
      <c r="D52" s="47">
        <f>SUM(Tabela33064410[#This Row])</f>
        <v>0</v>
      </c>
      <c r="E52" s="20">
        <f>Tabela718368[[#This Row],[Kolumna3]]-Tabela718368[[#This Row],[Kolumna2]]</f>
        <v>0</v>
      </c>
      <c r="F52" s="21" t="str">
        <f t="shared" ref="F52:F66" si="1">IFERROR(D52/C52,"")</f>
        <v/>
      </c>
      <c r="G52" s="2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ht="30" x14ac:dyDescent="0.2">
      <c r="B53" s="22" t="str">
        <f>'Wzorzec kategorii'!B16</f>
        <v>Wynagrodzenie Partnera / Partnerki</v>
      </c>
      <c r="C53" s="19">
        <v>0</v>
      </c>
      <c r="D53" s="47">
        <f>SUM(Tabela33064410[#This Row])</f>
        <v>0</v>
      </c>
      <c r="E53" s="20">
        <f>Tabela718368[[#This Row],[Kolumna3]]-Tabela718368[[#This Row],[Kolumna2]]</f>
        <v>0</v>
      </c>
      <c r="F53" s="21" t="str">
        <f t="shared" si="1"/>
        <v/>
      </c>
      <c r="G53" s="2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x14ac:dyDescent="0.2">
      <c r="B54" s="22" t="str">
        <f>'Wzorzec kategorii'!B17</f>
        <v>Premia</v>
      </c>
      <c r="C54" s="19">
        <v>0</v>
      </c>
      <c r="D54" s="47">
        <f>SUM(Tabela33064410[#This Row])</f>
        <v>0</v>
      </c>
      <c r="E54" s="20">
        <f>Tabela718368[[#This Row],[Kolumna3]]-Tabela718368[[#This Row],[Kolumna2]]</f>
        <v>0</v>
      </c>
      <c r="F54" s="21" t="str">
        <f t="shared" si="1"/>
        <v/>
      </c>
      <c r="G54" s="2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x14ac:dyDescent="0.2">
      <c r="B55" s="22" t="str">
        <f>'Wzorzec kategorii'!B18</f>
        <v>Przychody z premii bankowych</v>
      </c>
      <c r="C55" s="19">
        <v>0</v>
      </c>
      <c r="D55" s="47">
        <f>SUM(Tabela33064410[#This Row])</f>
        <v>0</v>
      </c>
      <c r="E55" s="20">
        <f>Tabela718368[[#This Row],[Kolumna3]]-Tabela718368[[#This Row],[Kolumna2]]</f>
        <v>0</v>
      </c>
      <c r="F55" s="21" t="str">
        <f t="shared" si="1"/>
        <v/>
      </c>
      <c r="G55" s="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x14ac:dyDescent="0.2">
      <c r="B56" s="22" t="str">
        <f>'Wzorzec kategorii'!B19</f>
        <v>Odsetki bankowe</v>
      </c>
      <c r="C56" s="19">
        <v>0</v>
      </c>
      <c r="D56" s="47">
        <f>SUM(Tabela33064410[#This Row])</f>
        <v>0</v>
      </c>
      <c r="E56" s="20">
        <f>Tabela718368[[#This Row],[Kolumna3]]-Tabela718368[[#This Row],[Kolumna2]]</f>
        <v>0</v>
      </c>
      <c r="F56" s="21" t="str">
        <f t="shared" si="1"/>
        <v/>
      </c>
      <c r="G56" s="2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2:39" x14ac:dyDescent="0.2">
      <c r="B57" s="22" t="str">
        <f>'Wzorzec kategorii'!B20</f>
        <v>Sprzedaż na Allegro itp.</v>
      </c>
      <c r="C57" s="19">
        <v>0</v>
      </c>
      <c r="D57" s="47">
        <f>SUM(Tabela33064410[#This Row])</f>
        <v>0</v>
      </c>
      <c r="E57" s="20">
        <f>Tabela718368[[#This Row],[Kolumna3]]-Tabela718368[[#This Row],[Kolumna2]]</f>
        <v>0</v>
      </c>
      <c r="F57" s="21" t="str">
        <f t="shared" si="1"/>
        <v/>
      </c>
      <c r="G57" s="2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9" x14ac:dyDescent="0.2">
      <c r="B58" s="22" t="str">
        <f>'Wzorzec kategorii'!B21</f>
        <v>Inne przychody</v>
      </c>
      <c r="C58" s="19">
        <v>0</v>
      </c>
      <c r="D58" s="47">
        <f>SUM(Tabela33064410[#This Row])</f>
        <v>0</v>
      </c>
      <c r="E58" s="20">
        <f>Tabela718368[[#This Row],[Kolumna3]]-Tabela718368[[#This Row],[Kolumna2]]</f>
        <v>0</v>
      </c>
      <c r="F58" s="21" t="str">
        <f t="shared" si="1"/>
        <v/>
      </c>
      <c r="G58" s="2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2:39" x14ac:dyDescent="0.2">
      <c r="B59" s="22" t="str">
        <f>'Wzorzec kategorii'!B22</f>
        <v>.</v>
      </c>
      <c r="C59" s="19">
        <v>0</v>
      </c>
      <c r="D59" s="47">
        <f>SUM(Tabela33064410[#This Row])</f>
        <v>0</v>
      </c>
      <c r="E59" s="20">
        <f>Tabela718368[[#This Row],[Kolumna3]]-Tabela718368[[#This Row],[Kolumna2]]</f>
        <v>0</v>
      </c>
      <c r="F59" s="53" t="str">
        <f t="shared" si="1"/>
        <v/>
      </c>
      <c r="G59" s="2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2:39" x14ac:dyDescent="0.2">
      <c r="B60" s="22" t="str">
        <f>'Wzorzec kategorii'!B23</f>
        <v>.</v>
      </c>
      <c r="C60" s="19">
        <v>0</v>
      </c>
      <c r="D60" s="47">
        <f>SUM(Tabela33064410[#This Row])</f>
        <v>0</v>
      </c>
      <c r="E60" s="20">
        <f>Tabela718368[[#This Row],[Kolumna3]]-Tabela718368[[#This Row],[Kolumna2]]</f>
        <v>0</v>
      </c>
      <c r="F60" s="53" t="str">
        <f t="shared" si="1"/>
        <v/>
      </c>
      <c r="G60" s="2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2:39" x14ac:dyDescent="0.2">
      <c r="B61" s="22" t="str">
        <f>'Wzorzec kategorii'!B24</f>
        <v>.</v>
      </c>
      <c r="C61" s="19">
        <v>0</v>
      </c>
      <c r="D61" s="47">
        <f>SUM(Tabela33064410[#This Row])</f>
        <v>0</v>
      </c>
      <c r="E61" s="20">
        <f>Tabela718368[[#This Row],[Kolumna3]]-Tabela718368[[#This Row],[Kolumna2]]</f>
        <v>0</v>
      </c>
      <c r="F61" s="53" t="str">
        <f t="shared" si="1"/>
        <v/>
      </c>
      <c r="G61" s="2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2:39" x14ac:dyDescent="0.2">
      <c r="B62" s="22" t="str">
        <f>'Wzorzec kategorii'!B25</f>
        <v>.</v>
      </c>
      <c r="C62" s="19">
        <v>0</v>
      </c>
      <c r="D62" s="47">
        <f>SUM(Tabela33064410[#This Row])</f>
        <v>0</v>
      </c>
      <c r="E62" s="20">
        <f>Tabela718368[[#This Row],[Kolumna3]]-Tabela718368[[#This Row],[Kolumna2]]</f>
        <v>0</v>
      </c>
      <c r="F62" s="53" t="str">
        <f t="shared" si="1"/>
        <v/>
      </c>
      <c r="G62" s="2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:39" x14ac:dyDescent="0.2">
      <c r="B63" s="22" t="str">
        <f>'Wzorzec kategorii'!B26</f>
        <v>.</v>
      </c>
      <c r="C63" s="19">
        <v>0</v>
      </c>
      <c r="D63" s="47">
        <f>SUM(Tabela33064410[#This Row])</f>
        <v>0</v>
      </c>
      <c r="E63" s="20">
        <f>Tabela718368[[#This Row],[Kolumna3]]-Tabela718368[[#This Row],[Kolumna2]]</f>
        <v>0</v>
      </c>
      <c r="F63" s="53" t="str">
        <f t="shared" si="1"/>
        <v/>
      </c>
      <c r="G63" s="2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x14ac:dyDescent="0.2">
      <c r="B64" s="22" t="str">
        <f>'Wzorzec kategorii'!B27</f>
        <v>.</v>
      </c>
      <c r="C64" s="19">
        <v>0</v>
      </c>
      <c r="D64" s="47">
        <f>SUM(Tabela33064410[#This Row])</f>
        <v>0</v>
      </c>
      <c r="E64" s="20">
        <f>Tabela718368[[#This Row],[Kolumna3]]-Tabela718368[[#This Row],[Kolumna2]]</f>
        <v>0</v>
      </c>
      <c r="F64" s="53" t="str">
        <f t="shared" si="1"/>
        <v/>
      </c>
      <c r="G64" s="2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:39" x14ac:dyDescent="0.2">
      <c r="B65" s="22" t="str">
        <f>'Wzorzec kategorii'!B28</f>
        <v>.</v>
      </c>
      <c r="C65" s="19">
        <v>0</v>
      </c>
      <c r="D65" s="47">
        <f>SUM(Tabela33064410[#This Row])</f>
        <v>0</v>
      </c>
      <c r="E65" s="20">
        <f>Tabela718368[[#This Row],[Kolumna3]]-Tabela718368[[#This Row],[Kolumna2]]</f>
        <v>0</v>
      </c>
      <c r="F65" s="53" t="str">
        <f t="shared" si="1"/>
        <v/>
      </c>
      <c r="G65" s="2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39" x14ac:dyDescent="0.2">
      <c r="B66" s="22" t="str">
        <f>'Wzorzec kategorii'!B29</f>
        <v>.</v>
      </c>
      <c r="C66" s="19">
        <v>0</v>
      </c>
      <c r="D66" s="47">
        <f>SUM(Tabela33064410[#This Row])</f>
        <v>0</v>
      </c>
      <c r="E66" s="20">
        <f>Tabela718368[[#This Row],[Kolumna3]]-Tabela718368[[#This Row],[Kolumna2]]</f>
        <v>0</v>
      </c>
      <c r="F66" s="53" t="str">
        <f t="shared" si="1"/>
        <v/>
      </c>
      <c r="G66" s="2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:39" x14ac:dyDescent="0.2">
      <c r="B67" s="5" t="s">
        <v>30</v>
      </c>
    </row>
    <row r="68" spans="2:39" ht="21" x14ac:dyDescent="0.25">
      <c r="B68" s="44" t="s">
        <v>25</v>
      </c>
      <c r="I68" s="7" t="s">
        <v>43</v>
      </c>
    </row>
    <row r="70" spans="2:39" ht="30" x14ac:dyDescent="0.2">
      <c r="B70" s="8" t="s">
        <v>0</v>
      </c>
      <c r="C70" s="9" t="s">
        <v>131</v>
      </c>
      <c r="D70" s="10" t="s">
        <v>135</v>
      </c>
      <c r="E70" s="8" t="s">
        <v>129</v>
      </c>
      <c r="F70" s="9" t="s">
        <v>140</v>
      </c>
      <c r="G70" s="8" t="s">
        <v>41</v>
      </c>
      <c r="I70" s="41" t="s">
        <v>142</v>
      </c>
    </row>
    <row r="71" spans="2:39" ht="24" customHeight="1" x14ac:dyDescent="0.2">
      <c r="B71" s="39" t="s">
        <v>139</v>
      </c>
      <c r="C71" s="40">
        <f>C73+C85+C97+C109+C121+C133+C145+C157+C169+C181+C193+C205+C217+C229+C241</f>
        <v>0</v>
      </c>
      <c r="D71" s="40">
        <f>D73+D85+D97+D109+D121+D133+D145+D157+D169+D181+D193+D205+D217+D229+D241</f>
        <v>0</v>
      </c>
      <c r="E71" s="40">
        <f>C71-D71</f>
        <v>0</v>
      </c>
      <c r="F71" s="8" t="s">
        <v>141</v>
      </c>
      <c r="G71" s="8"/>
      <c r="I71" s="43">
        <f>SUM(I73:I251)</f>
        <v>0</v>
      </c>
      <c r="J71" s="43">
        <f>SUM(J73:J251)</f>
        <v>0</v>
      </c>
      <c r="K71" s="43">
        <f t="shared" ref="K71:AM71" si="2">SUM(K73:K251)</f>
        <v>0</v>
      </c>
      <c r="L71" s="43">
        <f t="shared" si="2"/>
        <v>0</v>
      </c>
      <c r="M71" s="43">
        <f t="shared" si="2"/>
        <v>0</v>
      </c>
      <c r="N71" s="43">
        <f t="shared" si="2"/>
        <v>0</v>
      </c>
      <c r="O71" s="43">
        <f t="shared" si="2"/>
        <v>0</v>
      </c>
      <c r="P71" s="43">
        <f t="shared" si="2"/>
        <v>0</v>
      </c>
      <c r="Q71" s="43">
        <f t="shared" si="2"/>
        <v>0</v>
      </c>
      <c r="R71" s="43">
        <f t="shared" si="2"/>
        <v>0</v>
      </c>
      <c r="S71" s="43">
        <f t="shared" si="2"/>
        <v>0</v>
      </c>
      <c r="T71" s="43">
        <f t="shared" si="2"/>
        <v>0</v>
      </c>
      <c r="U71" s="43">
        <f t="shared" si="2"/>
        <v>0</v>
      </c>
      <c r="V71" s="43">
        <f t="shared" si="2"/>
        <v>0</v>
      </c>
      <c r="W71" s="43">
        <f t="shared" si="2"/>
        <v>0</v>
      </c>
      <c r="X71" s="43">
        <f t="shared" si="2"/>
        <v>0</v>
      </c>
      <c r="Y71" s="43">
        <f t="shared" si="2"/>
        <v>0</v>
      </c>
      <c r="Z71" s="43">
        <f t="shared" si="2"/>
        <v>0</v>
      </c>
      <c r="AA71" s="43">
        <f t="shared" si="2"/>
        <v>0</v>
      </c>
      <c r="AB71" s="43">
        <f t="shared" si="2"/>
        <v>0</v>
      </c>
      <c r="AC71" s="43">
        <f t="shared" si="2"/>
        <v>0</v>
      </c>
      <c r="AD71" s="43">
        <f t="shared" si="2"/>
        <v>0</v>
      </c>
      <c r="AE71" s="43">
        <f t="shared" si="2"/>
        <v>0</v>
      </c>
      <c r="AF71" s="43">
        <f t="shared" si="2"/>
        <v>0</v>
      </c>
      <c r="AG71" s="43">
        <f t="shared" si="2"/>
        <v>0</v>
      </c>
      <c r="AH71" s="43">
        <f t="shared" si="2"/>
        <v>0</v>
      </c>
      <c r="AI71" s="43">
        <f t="shared" si="2"/>
        <v>0</v>
      </c>
      <c r="AJ71" s="43">
        <f t="shared" si="2"/>
        <v>0</v>
      </c>
      <c r="AK71" s="43">
        <f t="shared" si="2"/>
        <v>0</v>
      </c>
      <c r="AL71" s="43">
        <f t="shared" si="2"/>
        <v>0</v>
      </c>
      <c r="AM71" s="43">
        <f t="shared" si="2"/>
        <v>0</v>
      </c>
    </row>
    <row r="73" spans="2:39" x14ac:dyDescent="0.2">
      <c r="B73" s="14" t="str">
        <f>'Wzorzec kategorii'!B35</f>
        <v>Jedzenie</v>
      </c>
      <c r="C73" s="15">
        <f>SUM(Jedzenie2366[[#All],[0]])</f>
        <v>0</v>
      </c>
      <c r="D73" s="16">
        <f>SUM(Jedzenie2366[[#All],[02]])</f>
        <v>0</v>
      </c>
      <c r="E73" s="15">
        <f t="shared" ref="E73:E83" si="3">C73-D73</f>
        <v>0</v>
      </c>
      <c r="F73" s="17" t="str">
        <f t="shared" ref="F73:F83" si="4">IFERROR(D73/C73,"")</f>
        <v/>
      </c>
      <c r="G73" s="23"/>
      <c r="I73" s="11" t="s">
        <v>44</v>
      </c>
      <c r="J73" s="11" t="s">
        <v>45</v>
      </c>
      <c r="K73" s="11" t="s">
        <v>46</v>
      </c>
      <c r="L73" s="11" t="s">
        <v>47</v>
      </c>
      <c r="M73" s="11" t="s">
        <v>48</v>
      </c>
      <c r="N73" s="11" t="s">
        <v>49</v>
      </c>
      <c r="O73" s="11" t="s">
        <v>50</v>
      </c>
      <c r="P73" s="11" t="s">
        <v>51</v>
      </c>
      <c r="Q73" s="11" t="s">
        <v>52</v>
      </c>
      <c r="R73" s="11" t="s">
        <v>53</v>
      </c>
      <c r="S73" s="11" t="s">
        <v>54</v>
      </c>
      <c r="T73" s="11" t="s">
        <v>55</v>
      </c>
      <c r="U73" s="11" t="s">
        <v>56</v>
      </c>
      <c r="V73" s="11" t="s">
        <v>57</v>
      </c>
      <c r="W73" s="11" t="s">
        <v>58</v>
      </c>
      <c r="X73" s="11" t="s">
        <v>59</v>
      </c>
      <c r="Y73" s="11" t="s">
        <v>60</v>
      </c>
      <c r="Z73" s="11" t="s">
        <v>61</v>
      </c>
      <c r="AA73" s="11" t="s">
        <v>62</v>
      </c>
      <c r="AB73" s="11" t="s">
        <v>63</v>
      </c>
      <c r="AC73" s="11" t="s">
        <v>64</v>
      </c>
      <c r="AD73" s="11" t="s">
        <v>65</v>
      </c>
      <c r="AE73" s="11" t="s">
        <v>66</v>
      </c>
      <c r="AF73" s="11" t="s">
        <v>67</v>
      </c>
      <c r="AG73" s="11" t="s">
        <v>68</v>
      </c>
      <c r="AH73" s="11" t="s">
        <v>69</v>
      </c>
      <c r="AI73" s="11" t="s">
        <v>70</v>
      </c>
      <c r="AJ73" s="11" t="s">
        <v>71</v>
      </c>
      <c r="AK73" s="11" t="s">
        <v>72</v>
      </c>
      <c r="AL73" s="11" t="s">
        <v>73</v>
      </c>
      <c r="AM73" s="11" t="s">
        <v>74</v>
      </c>
    </row>
    <row r="74" spans="2:39" x14ac:dyDescent="0.2">
      <c r="B74" s="22" t="str">
        <f>'Wzorzec kategorii'!B36</f>
        <v>Jedzenie dom</v>
      </c>
      <c r="C74" s="19">
        <v>0</v>
      </c>
      <c r="D74" s="20">
        <f>SUM(Tabela330369[#This Row])</f>
        <v>0</v>
      </c>
      <c r="E74" s="20">
        <f t="shared" si="3"/>
        <v>0</v>
      </c>
      <c r="F74" s="21" t="str">
        <f t="shared" si="4"/>
        <v/>
      </c>
      <c r="G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2:39" x14ac:dyDescent="0.2">
      <c r="B75" s="22" t="str">
        <f>'Wzorzec kategorii'!B37</f>
        <v>Jedzenie miasto</v>
      </c>
      <c r="C75" s="19">
        <v>0</v>
      </c>
      <c r="D75" s="20">
        <f>SUM(Tabela330369[#This Row])</f>
        <v>0</v>
      </c>
      <c r="E75" s="20">
        <f t="shared" si="3"/>
        <v>0</v>
      </c>
      <c r="F75" s="21" t="str">
        <f t="shared" si="4"/>
        <v/>
      </c>
      <c r="G75" s="2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:39" x14ac:dyDescent="0.2">
      <c r="B76" s="22" t="str">
        <f>'Wzorzec kategorii'!B38</f>
        <v>Jedzenie praca</v>
      </c>
      <c r="C76" s="19">
        <v>0</v>
      </c>
      <c r="D76" s="20">
        <f>SUM(Tabela330369[#This Row])</f>
        <v>0</v>
      </c>
      <c r="E76" s="20">
        <f t="shared" si="3"/>
        <v>0</v>
      </c>
      <c r="F76" s="21" t="str">
        <f t="shared" si="4"/>
        <v/>
      </c>
      <c r="G76" s="2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2:39" x14ac:dyDescent="0.2">
      <c r="B77" s="22" t="str">
        <f>'Wzorzec kategorii'!B39</f>
        <v>Alkohol</v>
      </c>
      <c r="C77" s="19">
        <v>0</v>
      </c>
      <c r="D77" s="20">
        <f>SUM(Tabela330369[#This Row])</f>
        <v>0</v>
      </c>
      <c r="E77" s="20">
        <f t="shared" si="3"/>
        <v>0</v>
      </c>
      <c r="F77" s="21" t="str">
        <f t="shared" si="4"/>
        <v/>
      </c>
      <c r="G77" s="2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2:39" x14ac:dyDescent="0.2">
      <c r="B78" s="22" t="str">
        <f>'Wzorzec kategorii'!B40</f>
        <v>Inne</v>
      </c>
      <c r="C78" s="19">
        <v>0</v>
      </c>
      <c r="D78" s="20">
        <f>SUM(Tabela330369[#This Row])</f>
        <v>0</v>
      </c>
      <c r="E78" s="20">
        <f t="shared" si="3"/>
        <v>0</v>
      </c>
      <c r="F78" s="21" t="str">
        <f t="shared" si="4"/>
        <v/>
      </c>
      <c r="G78" s="2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:39" x14ac:dyDescent="0.2">
      <c r="B79" s="22" t="str">
        <f>'Wzorzec kategorii'!B41</f>
        <v>.</v>
      </c>
      <c r="C79" s="19">
        <v>0</v>
      </c>
      <c r="D79" s="20">
        <f>SUM(Tabela330369[#This Row])</f>
        <v>0</v>
      </c>
      <c r="E79" s="20">
        <f t="shared" si="3"/>
        <v>0</v>
      </c>
      <c r="F79" s="53" t="str">
        <f t="shared" si="4"/>
        <v/>
      </c>
      <c r="G79" s="5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:39" x14ac:dyDescent="0.2">
      <c r="B80" s="22" t="str">
        <f>'Wzorzec kategorii'!B42</f>
        <v>.</v>
      </c>
      <c r="C80" s="19">
        <v>0</v>
      </c>
      <c r="D80" s="20">
        <f>SUM(Tabela330369[#This Row])</f>
        <v>0</v>
      </c>
      <c r="E80" s="20">
        <f t="shared" si="3"/>
        <v>0</v>
      </c>
      <c r="F80" s="53" t="str">
        <f t="shared" si="4"/>
        <v/>
      </c>
      <c r="G80" s="5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2:41" x14ac:dyDescent="0.2">
      <c r="B81" s="22" t="str">
        <f>'Wzorzec kategorii'!B43</f>
        <v>.</v>
      </c>
      <c r="C81" s="19">
        <v>0</v>
      </c>
      <c r="D81" s="20">
        <f>SUM(Tabela330369[#This Row])</f>
        <v>0</v>
      </c>
      <c r="E81" s="20">
        <f t="shared" si="3"/>
        <v>0</v>
      </c>
      <c r="F81" s="53" t="str">
        <f t="shared" si="4"/>
        <v/>
      </c>
      <c r="G81" s="5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2:41" x14ac:dyDescent="0.2">
      <c r="B82" s="22" t="str">
        <f>'Wzorzec kategorii'!B44</f>
        <v>.</v>
      </c>
      <c r="C82" s="19">
        <v>0</v>
      </c>
      <c r="D82" s="20">
        <f>SUM(Tabela330369[#This Row])</f>
        <v>0</v>
      </c>
      <c r="E82" s="20">
        <f t="shared" si="3"/>
        <v>0</v>
      </c>
      <c r="F82" s="53" t="str">
        <f t="shared" si="4"/>
        <v/>
      </c>
      <c r="G82" s="5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2:41" x14ac:dyDescent="0.2">
      <c r="B83" s="22" t="str">
        <f>'Wzorzec kategorii'!B45</f>
        <v>.</v>
      </c>
      <c r="C83" s="19">
        <v>0</v>
      </c>
      <c r="D83" s="20">
        <f>SUM(Tabela330369[#This Row])</f>
        <v>0</v>
      </c>
      <c r="E83" s="20">
        <f t="shared" si="3"/>
        <v>0</v>
      </c>
      <c r="F83" s="53" t="str">
        <f t="shared" si="4"/>
        <v/>
      </c>
      <c r="G83" s="5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2:41" x14ac:dyDescent="0.2">
      <c r="B84" s="5" t="s">
        <v>30</v>
      </c>
      <c r="C84" s="6"/>
      <c r="D84" s="4"/>
      <c r="E84" s="4"/>
      <c r="F84" s="4"/>
      <c r="G84" s="4"/>
      <c r="I84" s="5" t="s">
        <v>30</v>
      </c>
    </row>
    <row r="85" spans="2:41" x14ac:dyDescent="0.2">
      <c r="B85" s="14" t="str">
        <f>'Wzorzec kategorii'!B47</f>
        <v>Mieszkanie / dom</v>
      </c>
      <c r="C85" s="15">
        <f>SUM(Tabela431370[[#All],[Kolumna2]])</f>
        <v>0</v>
      </c>
      <c r="D85" s="16">
        <f>SUM(Tabela431370[[#All],[Kolumna3]])</f>
        <v>0</v>
      </c>
      <c r="E85" s="15">
        <f>C85-D85</f>
        <v>0</v>
      </c>
      <c r="F85" s="17" t="str">
        <f>IFERROR(D85/C85,"")</f>
        <v/>
      </c>
      <c r="G85" s="23"/>
      <c r="I85" s="11" t="s">
        <v>44</v>
      </c>
      <c r="J85" s="11" t="s">
        <v>45</v>
      </c>
      <c r="K85" s="11" t="s">
        <v>46</v>
      </c>
      <c r="L85" s="11" t="s">
        <v>47</v>
      </c>
      <c r="M85" s="11" t="s">
        <v>48</v>
      </c>
      <c r="N85" s="11" t="s">
        <v>49</v>
      </c>
      <c r="O85" s="11" t="s">
        <v>50</v>
      </c>
      <c r="P85" s="11" t="s">
        <v>51</v>
      </c>
      <c r="Q85" s="11" t="s">
        <v>52</v>
      </c>
      <c r="R85" s="11" t="s">
        <v>53</v>
      </c>
      <c r="S85" s="11" t="s">
        <v>54</v>
      </c>
      <c r="T85" s="11" t="s">
        <v>55</v>
      </c>
      <c r="U85" s="11" t="s">
        <v>56</v>
      </c>
      <c r="V85" s="11" t="s">
        <v>57</v>
      </c>
      <c r="W85" s="11" t="s">
        <v>58</v>
      </c>
      <c r="X85" s="11" t="s">
        <v>59</v>
      </c>
      <c r="Y85" s="11" t="s">
        <v>60</v>
      </c>
      <c r="Z85" s="11" t="s">
        <v>61</v>
      </c>
      <c r="AA85" s="11" t="s">
        <v>62</v>
      </c>
      <c r="AB85" s="11" t="s">
        <v>63</v>
      </c>
      <c r="AC85" s="11" t="s">
        <v>64</v>
      </c>
      <c r="AD85" s="11" t="s">
        <v>65</v>
      </c>
      <c r="AE85" s="11" t="s">
        <v>66</v>
      </c>
      <c r="AF85" s="11" t="s">
        <v>67</v>
      </c>
      <c r="AG85" s="11" t="s">
        <v>68</v>
      </c>
      <c r="AH85" s="11" t="s">
        <v>69</v>
      </c>
      <c r="AI85" s="11" t="s">
        <v>70</v>
      </c>
      <c r="AJ85" s="11" t="s">
        <v>71</v>
      </c>
      <c r="AK85" s="11" t="s">
        <v>72</v>
      </c>
      <c r="AL85" s="11" t="s">
        <v>73</v>
      </c>
      <c r="AM85" s="11" t="s">
        <v>74</v>
      </c>
      <c r="AN85" s="25"/>
      <c r="AO85" s="25"/>
    </row>
    <row r="86" spans="2:41" x14ac:dyDescent="0.2">
      <c r="B86" s="22" t="str">
        <f>'Wzorzec kategorii'!B48</f>
        <v>Czynsz</v>
      </c>
      <c r="C86" s="19">
        <v>0</v>
      </c>
      <c r="D86" s="20">
        <f>SUM(Tabela1841393[#This Row])</f>
        <v>0</v>
      </c>
      <c r="E86" s="20">
        <f t="shared" ref="E86:E95" si="5">C86-D86</f>
        <v>0</v>
      </c>
      <c r="F86" s="21" t="str">
        <f t="shared" ref="F86:F95" si="6">IFERROR(D86/C86,"")</f>
        <v/>
      </c>
      <c r="G86" s="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25"/>
      <c r="AO86" s="25"/>
    </row>
    <row r="87" spans="2:41" x14ac:dyDescent="0.2">
      <c r="B87" s="22" t="str">
        <f>'Wzorzec kategorii'!B49</f>
        <v>Woda i kanalizacja</v>
      </c>
      <c r="C87" s="19">
        <v>0</v>
      </c>
      <c r="D87" s="20">
        <f>SUM(Tabela1841393[#This Row])</f>
        <v>0</v>
      </c>
      <c r="E87" s="20">
        <f t="shared" si="5"/>
        <v>0</v>
      </c>
      <c r="F87" s="21" t="str">
        <f t="shared" si="6"/>
        <v/>
      </c>
      <c r="G87" s="2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25"/>
      <c r="AO87" s="25"/>
    </row>
    <row r="88" spans="2:41" x14ac:dyDescent="0.2">
      <c r="B88" s="22" t="str">
        <f>'Wzorzec kategorii'!B50</f>
        <v>Prąd</v>
      </c>
      <c r="C88" s="19">
        <v>0</v>
      </c>
      <c r="D88" s="20">
        <f>SUM(Tabela1841393[#This Row])</f>
        <v>0</v>
      </c>
      <c r="E88" s="20">
        <f t="shared" si="5"/>
        <v>0</v>
      </c>
      <c r="F88" s="21" t="str">
        <f t="shared" si="6"/>
        <v/>
      </c>
      <c r="G88" s="2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25"/>
      <c r="AO88" s="25"/>
    </row>
    <row r="89" spans="2:41" x14ac:dyDescent="0.2">
      <c r="B89" s="22" t="str">
        <f>'Wzorzec kategorii'!B51</f>
        <v>Gaz</v>
      </c>
      <c r="C89" s="19">
        <v>0</v>
      </c>
      <c r="D89" s="20">
        <f>SUM(Tabela1841393[#This Row])</f>
        <v>0</v>
      </c>
      <c r="E89" s="20">
        <f t="shared" si="5"/>
        <v>0</v>
      </c>
      <c r="F89" s="21" t="str">
        <f t="shared" si="6"/>
        <v/>
      </c>
      <c r="G89" s="2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25"/>
      <c r="AO89" s="25"/>
    </row>
    <row r="90" spans="2:41" x14ac:dyDescent="0.2">
      <c r="B90" s="22" t="str">
        <f>'Wzorzec kategorii'!B52</f>
        <v>Ogrzewanie</v>
      </c>
      <c r="C90" s="19">
        <v>0</v>
      </c>
      <c r="D90" s="20">
        <f>SUM(Tabela1841393[#This Row])</f>
        <v>0</v>
      </c>
      <c r="E90" s="20">
        <f t="shared" si="5"/>
        <v>0</v>
      </c>
      <c r="F90" s="21" t="str">
        <f t="shared" si="6"/>
        <v/>
      </c>
      <c r="G90" s="24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25"/>
      <c r="AO90" s="25"/>
    </row>
    <row r="91" spans="2:41" x14ac:dyDescent="0.2">
      <c r="B91" s="22" t="str">
        <f>'Wzorzec kategorii'!B53</f>
        <v>Wywóz śmieci</v>
      </c>
      <c r="C91" s="19">
        <v>0</v>
      </c>
      <c r="D91" s="20">
        <f>SUM(Tabela1841393[#This Row])</f>
        <v>0</v>
      </c>
      <c r="E91" s="20">
        <f t="shared" si="5"/>
        <v>0</v>
      </c>
      <c r="F91" s="21" t="str">
        <f t="shared" si="6"/>
        <v/>
      </c>
      <c r="G91" s="24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25"/>
      <c r="AO91" s="25"/>
    </row>
    <row r="92" spans="2:41" x14ac:dyDescent="0.2">
      <c r="B92" s="22" t="str">
        <f>'Wzorzec kategorii'!B54</f>
        <v>Konserwacja i naprawy</v>
      </c>
      <c r="C92" s="19">
        <v>0</v>
      </c>
      <c r="D92" s="20">
        <f>SUM(Tabela1841393[#This Row])</f>
        <v>0</v>
      </c>
      <c r="E92" s="20">
        <f t="shared" si="5"/>
        <v>0</v>
      </c>
      <c r="F92" s="21" t="str">
        <f t="shared" si="6"/>
        <v/>
      </c>
      <c r="G92" s="2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25"/>
      <c r="AO92" s="25"/>
    </row>
    <row r="93" spans="2:41" x14ac:dyDescent="0.2">
      <c r="B93" s="22" t="str">
        <f>'Wzorzec kategorii'!B55</f>
        <v>Wyposażenie</v>
      </c>
      <c r="C93" s="19">
        <v>0</v>
      </c>
      <c r="D93" s="20">
        <f>SUM(Tabela1841393[#This Row])</f>
        <v>0</v>
      </c>
      <c r="E93" s="20">
        <f t="shared" si="5"/>
        <v>0</v>
      </c>
      <c r="F93" s="21" t="str">
        <f t="shared" si="6"/>
        <v/>
      </c>
      <c r="G93" s="2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25"/>
      <c r="AO93" s="25"/>
    </row>
    <row r="94" spans="2:41" x14ac:dyDescent="0.2">
      <c r="B94" s="22" t="str">
        <f>'Wzorzec kategorii'!B56</f>
        <v>Ubezpieczenie nieruchomości</v>
      </c>
      <c r="C94" s="19">
        <v>0</v>
      </c>
      <c r="D94" s="20">
        <f>SUM(Tabela1841393[#This Row])</f>
        <v>0</v>
      </c>
      <c r="E94" s="20">
        <f t="shared" si="5"/>
        <v>0</v>
      </c>
      <c r="F94" s="21" t="str">
        <f t="shared" si="6"/>
        <v/>
      </c>
      <c r="G94" s="2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25"/>
      <c r="AO94" s="25"/>
    </row>
    <row r="95" spans="2:41" x14ac:dyDescent="0.2">
      <c r="B95" s="22" t="str">
        <f>'Wzorzec kategorii'!B57</f>
        <v>Inne</v>
      </c>
      <c r="C95" s="19">
        <v>0</v>
      </c>
      <c r="D95" s="20">
        <f>SUM(Tabela1841393[#This Row])</f>
        <v>0</v>
      </c>
      <c r="E95" s="20">
        <f t="shared" si="5"/>
        <v>0</v>
      </c>
      <c r="F95" s="21" t="str">
        <f t="shared" si="6"/>
        <v/>
      </c>
      <c r="G95" s="2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25"/>
      <c r="AO95" s="25"/>
    </row>
    <row r="96" spans="2:41" x14ac:dyDescent="0.2">
      <c r="B96" s="5" t="s">
        <v>30</v>
      </c>
      <c r="C96" s="6"/>
      <c r="D96" s="4"/>
      <c r="E96" s="4"/>
      <c r="F96" s="4"/>
      <c r="G96" s="4"/>
      <c r="I96" s="26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</row>
    <row r="97" spans="2:41" x14ac:dyDescent="0.2">
      <c r="B97" s="2" t="str">
        <f>'Wzorzec kategorii'!B59</f>
        <v>Transport</v>
      </c>
      <c r="C97" s="3">
        <f>SUM(Transport3367[[#All],[Kolumna2]])</f>
        <v>0</v>
      </c>
      <c r="D97" s="16">
        <f>SUM(Transport3367[[#All],[Kolumna3]])</f>
        <v>0</v>
      </c>
      <c r="E97" s="3">
        <f>C97-D97</f>
        <v>0</v>
      </c>
      <c r="F97" s="17" t="str">
        <f>IFERROR(D97/C97,"")</f>
        <v/>
      </c>
      <c r="G97" s="3"/>
      <c r="I97" s="11" t="s">
        <v>44</v>
      </c>
      <c r="J97" s="11" t="s">
        <v>45</v>
      </c>
      <c r="K97" s="11" t="s">
        <v>46</v>
      </c>
      <c r="L97" s="11" t="s">
        <v>47</v>
      </c>
      <c r="M97" s="11" t="s">
        <v>48</v>
      </c>
      <c r="N97" s="11" t="s">
        <v>49</v>
      </c>
      <c r="O97" s="11" t="s">
        <v>50</v>
      </c>
      <c r="P97" s="11" t="s">
        <v>51</v>
      </c>
      <c r="Q97" s="11" t="s">
        <v>52</v>
      </c>
      <c r="R97" s="11" t="s">
        <v>53</v>
      </c>
      <c r="S97" s="11" t="s">
        <v>54</v>
      </c>
      <c r="T97" s="11" t="s">
        <v>55</v>
      </c>
      <c r="U97" s="11" t="s">
        <v>56</v>
      </c>
      <c r="V97" s="11" t="s">
        <v>57</v>
      </c>
      <c r="W97" s="11" t="s">
        <v>58</v>
      </c>
      <c r="X97" s="11" t="s">
        <v>59</v>
      </c>
      <c r="Y97" s="11" t="s">
        <v>60</v>
      </c>
      <c r="Z97" s="11" t="s">
        <v>61</v>
      </c>
      <c r="AA97" s="11" t="s">
        <v>62</v>
      </c>
      <c r="AB97" s="11" t="s">
        <v>63</v>
      </c>
      <c r="AC97" s="11" t="s">
        <v>64</v>
      </c>
      <c r="AD97" s="11" t="s">
        <v>65</v>
      </c>
      <c r="AE97" s="11" t="s">
        <v>66</v>
      </c>
      <c r="AF97" s="11" t="s">
        <v>67</v>
      </c>
      <c r="AG97" s="11" t="s">
        <v>68</v>
      </c>
      <c r="AH97" s="11" t="s">
        <v>69</v>
      </c>
      <c r="AI97" s="11" t="s">
        <v>70</v>
      </c>
      <c r="AJ97" s="11" t="s">
        <v>71</v>
      </c>
      <c r="AK97" s="11" t="s">
        <v>72</v>
      </c>
      <c r="AL97" s="11" t="s">
        <v>73</v>
      </c>
      <c r="AM97" s="11" t="s">
        <v>74</v>
      </c>
      <c r="AN97" s="25"/>
      <c r="AO97" s="25"/>
    </row>
    <row r="98" spans="2:41" x14ac:dyDescent="0.2">
      <c r="B98" s="22" t="str">
        <f>'Wzorzec kategorii'!B60</f>
        <v>Paliwo do auta</v>
      </c>
      <c r="C98" s="19">
        <v>0</v>
      </c>
      <c r="D98" s="20">
        <f>SUM(Tabela1942394[#This Row])</f>
        <v>0</v>
      </c>
      <c r="E98" s="20">
        <f t="shared" ref="E98:E107" si="7">C98-D98</f>
        <v>0</v>
      </c>
      <c r="F98" s="21" t="str">
        <f t="shared" ref="F98:F107" si="8">IFERROR(D98/C98,"")</f>
        <v/>
      </c>
      <c r="G98" s="24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25"/>
      <c r="AO98" s="25"/>
    </row>
    <row r="99" spans="2:41" x14ac:dyDescent="0.2">
      <c r="B99" s="22" t="str">
        <f>'Wzorzec kategorii'!B61</f>
        <v>Przeglądy i naprawy auta</v>
      </c>
      <c r="C99" s="19">
        <v>0</v>
      </c>
      <c r="D99" s="20">
        <f>SUM(Tabela1942394[#This Row])</f>
        <v>0</v>
      </c>
      <c r="E99" s="20">
        <f t="shared" si="7"/>
        <v>0</v>
      </c>
      <c r="F99" s="21" t="str">
        <f t="shared" si="8"/>
        <v/>
      </c>
      <c r="G99" s="2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25"/>
      <c r="AO99" s="25"/>
    </row>
    <row r="100" spans="2:41" ht="30" x14ac:dyDescent="0.2">
      <c r="B100" s="22" t="str">
        <f>'Wzorzec kategorii'!B62</f>
        <v>Wyposażenie dodatkowe (opony)</v>
      </c>
      <c r="C100" s="19">
        <v>0</v>
      </c>
      <c r="D100" s="20">
        <f>SUM(Tabela1942394[#This Row])</f>
        <v>0</v>
      </c>
      <c r="E100" s="20">
        <f t="shared" si="7"/>
        <v>0</v>
      </c>
      <c r="F100" s="21" t="str">
        <f t="shared" si="8"/>
        <v/>
      </c>
      <c r="G100" s="2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25"/>
      <c r="AO100" s="25"/>
    </row>
    <row r="101" spans="2:41" x14ac:dyDescent="0.2">
      <c r="B101" s="22" t="str">
        <f>'Wzorzec kategorii'!B63</f>
        <v>Ubezpieczenie auta</v>
      </c>
      <c r="C101" s="19">
        <v>0</v>
      </c>
      <c r="D101" s="20">
        <f>SUM(Tabela1942394[#This Row])</f>
        <v>0</v>
      </c>
      <c r="E101" s="20">
        <f t="shared" si="7"/>
        <v>0</v>
      </c>
      <c r="F101" s="21" t="str">
        <f t="shared" si="8"/>
        <v/>
      </c>
      <c r="G101" s="2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25"/>
      <c r="AO101" s="25"/>
    </row>
    <row r="102" spans="2:41" x14ac:dyDescent="0.2">
      <c r="B102" s="22" t="str">
        <f>'Wzorzec kategorii'!B64</f>
        <v>Bilet komunikacji miejskiej</v>
      </c>
      <c r="C102" s="19">
        <v>0</v>
      </c>
      <c r="D102" s="20">
        <f>SUM(Tabela1942394[#This Row])</f>
        <v>0</v>
      </c>
      <c r="E102" s="20">
        <f t="shared" si="7"/>
        <v>0</v>
      </c>
      <c r="F102" s="21" t="str">
        <f t="shared" si="8"/>
        <v/>
      </c>
      <c r="G102" s="2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25"/>
      <c r="AO102" s="25"/>
    </row>
    <row r="103" spans="2:41" x14ac:dyDescent="0.2">
      <c r="B103" s="22" t="str">
        <f>'Wzorzec kategorii'!B65</f>
        <v>Bilet PKP, PKS</v>
      </c>
      <c r="C103" s="19">
        <v>0</v>
      </c>
      <c r="D103" s="20">
        <f>SUM(Tabela1942394[#This Row])</f>
        <v>0</v>
      </c>
      <c r="E103" s="20">
        <f t="shared" si="7"/>
        <v>0</v>
      </c>
      <c r="F103" s="21" t="str">
        <f t="shared" si="8"/>
        <v/>
      </c>
      <c r="G103" s="24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25"/>
      <c r="AO103" s="25"/>
    </row>
    <row r="104" spans="2:41" x14ac:dyDescent="0.2">
      <c r="B104" s="22" t="str">
        <f>'Wzorzec kategorii'!B66</f>
        <v>Taxi</v>
      </c>
      <c r="C104" s="19">
        <v>0</v>
      </c>
      <c r="D104" s="20">
        <f>SUM(Tabela1942394[#This Row])</f>
        <v>0</v>
      </c>
      <c r="E104" s="20">
        <f t="shared" si="7"/>
        <v>0</v>
      </c>
      <c r="F104" s="21" t="str">
        <f t="shared" si="8"/>
        <v/>
      </c>
      <c r="G104" s="24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25"/>
      <c r="AO104" s="25"/>
    </row>
    <row r="105" spans="2:41" x14ac:dyDescent="0.2">
      <c r="B105" s="22" t="str">
        <f>'Wzorzec kategorii'!B67</f>
        <v>Inne</v>
      </c>
      <c r="C105" s="19">
        <v>0</v>
      </c>
      <c r="D105" s="20">
        <f>SUM(Tabela1942394[#This Row])</f>
        <v>0</v>
      </c>
      <c r="E105" s="20">
        <f t="shared" si="7"/>
        <v>0</v>
      </c>
      <c r="F105" s="21" t="str">
        <f t="shared" si="8"/>
        <v/>
      </c>
      <c r="G105" s="2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25"/>
      <c r="AO105" s="25"/>
    </row>
    <row r="106" spans="2:41" x14ac:dyDescent="0.2">
      <c r="B106" s="22" t="str">
        <f>'Wzorzec kategorii'!B68</f>
        <v>.</v>
      </c>
      <c r="C106" s="19">
        <v>0</v>
      </c>
      <c r="D106" s="20">
        <f>SUM(Tabela1942394[#This Row])</f>
        <v>0</v>
      </c>
      <c r="E106" s="20">
        <f t="shared" si="7"/>
        <v>0</v>
      </c>
      <c r="F106" s="53" t="str">
        <f t="shared" si="8"/>
        <v/>
      </c>
      <c r="G106" s="54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25"/>
      <c r="AO106" s="25"/>
    </row>
    <row r="107" spans="2:41" x14ac:dyDescent="0.2">
      <c r="B107" s="22" t="str">
        <f>'Wzorzec kategorii'!B69</f>
        <v>.</v>
      </c>
      <c r="C107" s="19">
        <v>0</v>
      </c>
      <c r="D107" s="20">
        <f>SUM(Tabela1942394[#This Row])</f>
        <v>0</v>
      </c>
      <c r="E107" s="20">
        <f t="shared" si="7"/>
        <v>0</v>
      </c>
      <c r="F107" s="53" t="str">
        <f t="shared" si="8"/>
        <v/>
      </c>
      <c r="G107" s="54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25"/>
      <c r="AO107" s="25"/>
    </row>
    <row r="108" spans="2:41" x14ac:dyDescent="0.2">
      <c r="B108" s="5" t="s">
        <v>30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</row>
    <row r="109" spans="2:41" x14ac:dyDescent="0.2">
      <c r="B109" s="2" t="str">
        <f>'Wzorzec kategorii'!B71</f>
        <v>Telekomunikacja</v>
      </c>
      <c r="C109" s="3">
        <f>SUM(Tabela832371[[#All],[Kolumna2]])</f>
        <v>0</v>
      </c>
      <c r="D109" s="16">
        <f>SUM(Tabela832371[[#All],[Kolumna3]])</f>
        <v>0</v>
      </c>
      <c r="E109" s="3">
        <f>C109-D109</f>
        <v>0</v>
      </c>
      <c r="F109" s="17" t="str">
        <f t="shared" ref="F109:F119" si="9">IFERROR(D109/C109,"")</f>
        <v/>
      </c>
      <c r="G109" s="3"/>
      <c r="I109" s="11" t="s">
        <v>44</v>
      </c>
      <c r="J109" s="11" t="s">
        <v>45</v>
      </c>
      <c r="K109" s="11" t="s">
        <v>46</v>
      </c>
      <c r="L109" s="11" t="s">
        <v>47</v>
      </c>
      <c r="M109" s="11" t="s">
        <v>48</v>
      </c>
      <c r="N109" s="11" t="s">
        <v>49</v>
      </c>
      <c r="O109" s="11" t="s">
        <v>50</v>
      </c>
      <c r="P109" s="11" t="s">
        <v>51</v>
      </c>
      <c r="Q109" s="11" t="s">
        <v>52</v>
      </c>
      <c r="R109" s="11" t="s">
        <v>53</v>
      </c>
      <c r="S109" s="11" t="s">
        <v>54</v>
      </c>
      <c r="T109" s="11" t="s">
        <v>55</v>
      </c>
      <c r="U109" s="11" t="s">
        <v>56</v>
      </c>
      <c r="V109" s="11" t="s">
        <v>57</v>
      </c>
      <c r="W109" s="11" t="s">
        <v>58</v>
      </c>
      <c r="X109" s="11" t="s">
        <v>59</v>
      </c>
      <c r="Y109" s="11" t="s">
        <v>60</v>
      </c>
      <c r="Z109" s="11" t="s">
        <v>61</v>
      </c>
      <c r="AA109" s="11" t="s">
        <v>62</v>
      </c>
      <c r="AB109" s="11" t="s">
        <v>63</v>
      </c>
      <c r="AC109" s="11" t="s">
        <v>64</v>
      </c>
      <c r="AD109" s="11" t="s">
        <v>65</v>
      </c>
      <c r="AE109" s="11" t="s">
        <v>66</v>
      </c>
      <c r="AF109" s="11" t="s">
        <v>67</v>
      </c>
      <c r="AG109" s="11" t="s">
        <v>68</v>
      </c>
      <c r="AH109" s="11" t="s">
        <v>69</v>
      </c>
      <c r="AI109" s="11" t="s">
        <v>70</v>
      </c>
      <c r="AJ109" s="11" t="s">
        <v>71</v>
      </c>
      <c r="AK109" s="11" t="s">
        <v>72</v>
      </c>
      <c r="AL109" s="11" t="s">
        <v>73</v>
      </c>
      <c r="AM109" s="11" t="s">
        <v>74</v>
      </c>
      <c r="AN109" s="25"/>
      <c r="AO109" s="25"/>
    </row>
    <row r="110" spans="2:41" x14ac:dyDescent="0.2">
      <c r="B110" s="22" t="str">
        <f>'Wzorzec kategorii'!B72</f>
        <v>Telefon 1</v>
      </c>
      <c r="C110" s="19">
        <v>0</v>
      </c>
      <c r="D110" s="20">
        <f>SUM(Tabela192143395[#This Row])</f>
        <v>0</v>
      </c>
      <c r="E110" s="20">
        <f t="shared" ref="E110:E119" si="10">C110-D110</f>
        <v>0</v>
      </c>
      <c r="F110" s="21" t="str">
        <f t="shared" si="9"/>
        <v/>
      </c>
      <c r="G110" s="24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25"/>
      <c r="AO110" s="25"/>
    </row>
    <row r="111" spans="2:41" x14ac:dyDescent="0.2">
      <c r="B111" s="22" t="str">
        <f>'Wzorzec kategorii'!B73</f>
        <v>Telefon 2</v>
      </c>
      <c r="C111" s="19">
        <v>0</v>
      </c>
      <c r="D111" s="20">
        <f>SUM(Tabela192143395[#This Row])</f>
        <v>0</v>
      </c>
      <c r="E111" s="20">
        <f t="shared" si="10"/>
        <v>0</v>
      </c>
      <c r="F111" s="21" t="str">
        <f t="shared" si="9"/>
        <v/>
      </c>
      <c r="G111" s="24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25"/>
      <c r="AO111" s="25"/>
    </row>
    <row r="112" spans="2:41" x14ac:dyDescent="0.2">
      <c r="B112" s="22" t="str">
        <f>'Wzorzec kategorii'!B74</f>
        <v>TV</v>
      </c>
      <c r="C112" s="19">
        <v>0</v>
      </c>
      <c r="D112" s="20">
        <f>SUM(Tabela192143395[#This Row])</f>
        <v>0</v>
      </c>
      <c r="E112" s="20">
        <f t="shared" si="10"/>
        <v>0</v>
      </c>
      <c r="F112" s="21" t="str">
        <f t="shared" si="9"/>
        <v/>
      </c>
      <c r="G112" s="2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5"/>
      <c r="AO112" s="25"/>
    </row>
    <row r="113" spans="2:41" x14ac:dyDescent="0.2">
      <c r="B113" s="22" t="str">
        <f>'Wzorzec kategorii'!B75</f>
        <v>Internet</v>
      </c>
      <c r="C113" s="19">
        <v>0</v>
      </c>
      <c r="D113" s="20">
        <f>SUM(Tabela192143395[#This Row])</f>
        <v>0</v>
      </c>
      <c r="E113" s="20">
        <f t="shared" si="10"/>
        <v>0</v>
      </c>
      <c r="F113" s="21" t="str">
        <f t="shared" si="9"/>
        <v/>
      </c>
      <c r="G113" s="2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25"/>
      <c r="AO113" s="25"/>
    </row>
    <row r="114" spans="2:41" x14ac:dyDescent="0.2">
      <c r="B114" s="22" t="str">
        <f>'Wzorzec kategorii'!B76</f>
        <v>Inne</v>
      </c>
      <c r="C114" s="19">
        <v>0</v>
      </c>
      <c r="D114" s="20">
        <f>SUM(Tabela192143395[#This Row])</f>
        <v>0</v>
      </c>
      <c r="E114" s="20">
        <f t="shared" si="10"/>
        <v>0</v>
      </c>
      <c r="F114" s="21" t="str">
        <f t="shared" si="9"/>
        <v/>
      </c>
      <c r="G114" s="2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25"/>
      <c r="AO114" s="25"/>
    </row>
    <row r="115" spans="2:41" x14ac:dyDescent="0.2">
      <c r="B115" s="22" t="str">
        <f>'Wzorzec kategorii'!B77</f>
        <v>.</v>
      </c>
      <c r="C115" s="19">
        <v>0</v>
      </c>
      <c r="D115" s="20">
        <f>SUM(Tabela192143395[#This Row])</f>
        <v>0</v>
      </c>
      <c r="E115" s="20">
        <f t="shared" si="10"/>
        <v>0</v>
      </c>
      <c r="F115" s="53" t="str">
        <f t="shared" si="9"/>
        <v/>
      </c>
      <c r="G115" s="54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25"/>
      <c r="AO115" s="25"/>
    </row>
    <row r="116" spans="2:41" x14ac:dyDescent="0.2">
      <c r="B116" s="22" t="str">
        <f>'Wzorzec kategorii'!B78</f>
        <v>.</v>
      </c>
      <c r="C116" s="19">
        <v>0</v>
      </c>
      <c r="D116" s="20">
        <f>SUM(Tabela192143395[#This Row])</f>
        <v>0</v>
      </c>
      <c r="E116" s="20">
        <f t="shared" si="10"/>
        <v>0</v>
      </c>
      <c r="F116" s="53" t="str">
        <f t="shared" si="9"/>
        <v/>
      </c>
      <c r="G116" s="54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25"/>
      <c r="AO116" s="25"/>
    </row>
    <row r="117" spans="2:41" x14ac:dyDescent="0.2">
      <c r="B117" s="22" t="str">
        <f>'Wzorzec kategorii'!B79</f>
        <v>.</v>
      </c>
      <c r="C117" s="19">
        <v>0</v>
      </c>
      <c r="D117" s="20">
        <f>SUM(Tabela192143395[#This Row])</f>
        <v>0</v>
      </c>
      <c r="E117" s="20">
        <f t="shared" si="10"/>
        <v>0</v>
      </c>
      <c r="F117" s="53" t="str">
        <f t="shared" si="9"/>
        <v/>
      </c>
      <c r="G117" s="54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25"/>
      <c r="AO117" s="25"/>
    </row>
    <row r="118" spans="2:41" x14ac:dyDescent="0.2">
      <c r="B118" s="22" t="str">
        <f>'Wzorzec kategorii'!B80</f>
        <v>.</v>
      </c>
      <c r="C118" s="19">
        <v>0</v>
      </c>
      <c r="D118" s="20">
        <f>SUM(Tabela192143395[#This Row])</f>
        <v>0</v>
      </c>
      <c r="E118" s="20">
        <f t="shared" si="10"/>
        <v>0</v>
      </c>
      <c r="F118" s="53" t="str">
        <f t="shared" si="9"/>
        <v/>
      </c>
      <c r="G118" s="54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25"/>
      <c r="AO118" s="25"/>
    </row>
    <row r="119" spans="2:41" x14ac:dyDescent="0.2">
      <c r="B119" s="22" t="str">
        <f>'Wzorzec kategorii'!B81</f>
        <v>.</v>
      </c>
      <c r="C119" s="19">
        <v>0</v>
      </c>
      <c r="D119" s="20">
        <f>SUM(Tabela192143395[#This Row])</f>
        <v>0</v>
      </c>
      <c r="E119" s="20">
        <f t="shared" si="10"/>
        <v>0</v>
      </c>
      <c r="F119" s="53" t="str">
        <f t="shared" si="9"/>
        <v/>
      </c>
      <c r="G119" s="54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25"/>
      <c r="AO119" s="25"/>
    </row>
    <row r="120" spans="2:41" x14ac:dyDescent="0.2"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</row>
    <row r="121" spans="2:41" x14ac:dyDescent="0.2">
      <c r="B121" s="2" t="str">
        <f>'Wzorzec kategorii'!B83</f>
        <v>Opieka zdrowotna</v>
      </c>
      <c r="C121" s="3">
        <f>SUM(Tabela933372[[#All],[Kolumna2]])</f>
        <v>0</v>
      </c>
      <c r="D121" s="16">
        <f>SUM(Tabela933372[[#All],[Kolumna3]])</f>
        <v>0</v>
      </c>
      <c r="E121" s="3">
        <f>C121-D121</f>
        <v>0</v>
      </c>
      <c r="F121" s="17" t="str">
        <f>IFERROR(D121/C121,"")</f>
        <v/>
      </c>
      <c r="G121" s="3"/>
      <c r="I121" s="11" t="s">
        <v>44</v>
      </c>
      <c r="J121" s="11" t="s">
        <v>45</v>
      </c>
      <c r="K121" s="11" t="s">
        <v>46</v>
      </c>
      <c r="L121" s="11" t="s">
        <v>47</v>
      </c>
      <c r="M121" s="11" t="s">
        <v>48</v>
      </c>
      <c r="N121" s="11" t="s">
        <v>49</v>
      </c>
      <c r="O121" s="11" t="s">
        <v>50</v>
      </c>
      <c r="P121" s="11" t="s">
        <v>51</v>
      </c>
      <c r="Q121" s="11" t="s">
        <v>52</v>
      </c>
      <c r="R121" s="11" t="s">
        <v>53</v>
      </c>
      <c r="S121" s="11" t="s">
        <v>54</v>
      </c>
      <c r="T121" s="11" t="s">
        <v>55</v>
      </c>
      <c r="U121" s="11" t="s">
        <v>56</v>
      </c>
      <c r="V121" s="11" t="s">
        <v>57</v>
      </c>
      <c r="W121" s="11" t="s">
        <v>58</v>
      </c>
      <c r="X121" s="11" t="s">
        <v>59</v>
      </c>
      <c r="Y121" s="11" t="s">
        <v>60</v>
      </c>
      <c r="Z121" s="11" t="s">
        <v>61</v>
      </c>
      <c r="AA121" s="11" t="s">
        <v>62</v>
      </c>
      <c r="AB121" s="11" t="s">
        <v>63</v>
      </c>
      <c r="AC121" s="11" t="s">
        <v>64</v>
      </c>
      <c r="AD121" s="11" t="s">
        <v>65</v>
      </c>
      <c r="AE121" s="11" t="s">
        <v>66</v>
      </c>
      <c r="AF121" s="11" t="s">
        <v>67</v>
      </c>
      <c r="AG121" s="11" t="s">
        <v>68</v>
      </c>
      <c r="AH121" s="11" t="s">
        <v>69</v>
      </c>
      <c r="AI121" s="11" t="s">
        <v>70</v>
      </c>
      <c r="AJ121" s="11" t="s">
        <v>71</v>
      </c>
      <c r="AK121" s="11" t="s">
        <v>72</v>
      </c>
      <c r="AL121" s="11" t="s">
        <v>73</v>
      </c>
      <c r="AM121" s="11" t="s">
        <v>74</v>
      </c>
      <c r="AN121" s="25"/>
      <c r="AO121" s="25"/>
    </row>
    <row r="122" spans="2:41" x14ac:dyDescent="0.2">
      <c r="B122" s="22" t="str">
        <f>'Wzorzec kategorii'!B84</f>
        <v>Lekarz</v>
      </c>
      <c r="C122" s="19">
        <v>0</v>
      </c>
      <c r="D122" s="20">
        <f>SUM(Tabela19212547399[#This Row])</f>
        <v>0</v>
      </c>
      <c r="E122" s="20">
        <f t="shared" ref="E122:E131" si="11">C122-D122</f>
        <v>0</v>
      </c>
      <c r="F122" s="21" t="str">
        <f>IFERROR(D122/C122,"")</f>
        <v/>
      </c>
      <c r="G122" s="2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25"/>
      <c r="AO122" s="25"/>
    </row>
    <row r="123" spans="2:41" x14ac:dyDescent="0.2">
      <c r="B123" s="22" t="str">
        <f>'Wzorzec kategorii'!B85</f>
        <v>Badania</v>
      </c>
      <c r="C123" s="19">
        <v>0</v>
      </c>
      <c r="D123" s="20">
        <f>SUM(Tabela19212547399[#This Row])</f>
        <v>0</v>
      </c>
      <c r="E123" s="20">
        <f t="shared" si="11"/>
        <v>0</v>
      </c>
      <c r="F123" s="21" t="str">
        <f>IFERROR(D123/C123,"")</f>
        <v/>
      </c>
      <c r="G123" s="2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25"/>
      <c r="AO123" s="25"/>
    </row>
    <row r="124" spans="2:41" x14ac:dyDescent="0.2">
      <c r="B124" s="22" t="str">
        <f>'Wzorzec kategorii'!B86</f>
        <v>Lekarstwa</v>
      </c>
      <c r="C124" s="19">
        <v>0</v>
      </c>
      <c r="D124" s="20">
        <f>SUM(Tabela19212547399[#This Row])</f>
        <v>0</v>
      </c>
      <c r="E124" s="20">
        <f t="shared" si="11"/>
        <v>0</v>
      </c>
      <c r="F124" s="21" t="str">
        <f>IFERROR(D124/C124,"")</f>
        <v/>
      </c>
      <c r="G124" s="2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25"/>
      <c r="AO124" s="25"/>
    </row>
    <row r="125" spans="2:41" x14ac:dyDescent="0.2">
      <c r="B125" s="22" t="str">
        <f>'Wzorzec kategorii'!B87</f>
        <v>Inne</v>
      </c>
      <c r="C125" s="19">
        <v>0</v>
      </c>
      <c r="D125" s="20">
        <f>SUM(Tabela19212547399[#This Row])</f>
        <v>0</v>
      </c>
      <c r="E125" s="20">
        <f t="shared" si="11"/>
        <v>0</v>
      </c>
      <c r="F125" s="21" t="str">
        <f>IFERROR(D125/C125,"")</f>
        <v/>
      </c>
      <c r="G125" s="24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25"/>
      <c r="AO125" s="25"/>
    </row>
    <row r="126" spans="2:41" x14ac:dyDescent="0.2">
      <c r="B126" s="50" t="str">
        <f>'Wzorzec kategorii'!B88</f>
        <v>.</v>
      </c>
      <c r="C126" s="19">
        <v>0</v>
      </c>
      <c r="D126" s="20">
        <f>SUM(Tabela19212547399[#This Row])</f>
        <v>0</v>
      </c>
      <c r="E126" s="20">
        <f t="shared" si="11"/>
        <v>0</v>
      </c>
      <c r="F126" s="53" t="str">
        <f t="shared" ref="F126:F131" si="12">IFERROR(D126/C126,"")</f>
        <v/>
      </c>
      <c r="G126" s="54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25"/>
      <c r="AO126" s="25"/>
    </row>
    <row r="127" spans="2:41" x14ac:dyDescent="0.2">
      <c r="B127" s="50" t="str">
        <f>'Wzorzec kategorii'!B89</f>
        <v>.</v>
      </c>
      <c r="C127" s="19">
        <v>0</v>
      </c>
      <c r="D127" s="20">
        <f>SUM(Tabela19212547399[#This Row])</f>
        <v>0</v>
      </c>
      <c r="E127" s="20">
        <f t="shared" si="11"/>
        <v>0</v>
      </c>
      <c r="F127" s="53" t="str">
        <f t="shared" si="12"/>
        <v/>
      </c>
      <c r="G127" s="54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25"/>
      <c r="AO127" s="25"/>
    </row>
    <row r="128" spans="2:41" x14ac:dyDescent="0.2">
      <c r="B128" s="50" t="str">
        <f>'Wzorzec kategorii'!B90</f>
        <v>.</v>
      </c>
      <c r="C128" s="19">
        <v>0</v>
      </c>
      <c r="D128" s="20">
        <f>SUM(Tabela19212547399[#This Row])</f>
        <v>0</v>
      </c>
      <c r="E128" s="20">
        <f t="shared" si="11"/>
        <v>0</v>
      </c>
      <c r="F128" s="53" t="str">
        <f t="shared" si="12"/>
        <v/>
      </c>
      <c r="G128" s="54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25"/>
      <c r="AO128" s="25"/>
    </row>
    <row r="129" spans="2:41" x14ac:dyDescent="0.2">
      <c r="B129" s="50" t="str">
        <f>'Wzorzec kategorii'!B91</f>
        <v>.</v>
      </c>
      <c r="C129" s="19">
        <v>0</v>
      </c>
      <c r="D129" s="20">
        <f>SUM(Tabela19212547399[#This Row])</f>
        <v>0</v>
      </c>
      <c r="E129" s="20">
        <f t="shared" si="11"/>
        <v>0</v>
      </c>
      <c r="F129" s="53" t="str">
        <f t="shared" si="12"/>
        <v/>
      </c>
      <c r="G129" s="54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25"/>
      <c r="AO129" s="25"/>
    </row>
    <row r="130" spans="2:41" x14ac:dyDescent="0.2">
      <c r="B130" s="50" t="str">
        <f>'Wzorzec kategorii'!B92</f>
        <v>.</v>
      </c>
      <c r="C130" s="19">
        <v>0</v>
      </c>
      <c r="D130" s="20">
        <f>SUM(Tabela19212547399[#This Row])</f>
        <v>0</v>
      </c>
      <c r="E130" s="20">
        <f t="shared" si="11"/>
        <v>0</v>
      </c>
      <c r="F130" s="53" t="str">
        <f t="shared" si="12"/>
        <v/>
      </c>
      <c r="G130" s="54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25"/>
      <c r="AO130" s="25"/>
    </row>
    <row r="131" spans="2:41" x14ac:dyDescent="0.2">
      <c r="B131" s="50" t="str">
        <f>'Wzorzec kategorii'!B93</f>
        <v>.</v>
      </c>
      <c r="C131" s="19">
        <v>0</v>
      </c>
      <c r="D131" s="20">
        <f>SUM(Tabela19212547399[#This Row])</f>
        <v>0</v>
      </c>
      <c r="E131" s="20">
        <f t="shared" si="11"/>
        <v>0</v>
      </c>
      <c r="F131" s="53" t="str">
        <f t="shared" si="12"/>
        <v/>
      </c>
      <c r="G131" s="54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25"/>
      <c r="AO131" s="25"/>
    </row>
    <row r="132" spans="2:41" x14ac:dyDescent="0.2">
      <c r="B132" s="13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</row>
    <row r="133" spans="2:41" x14ac:dyDescent="0.2">
      <c r="B133" s="2" t="str">
        <f>'Wzorzec kategorii'!B95</f>
        <v>Ubranie</v>
      </c>
      <c r="C133" s="3">
        <f>SUM(Tabela1034373[[#All],[Kolumna2]])</f>
        <v>0</v>
      </c>
      <c r="D133" s="16">
        <f>SUM(Tabela1034373[[#All],[Kolumna3]])</f>
        <v>0</v>
      </c>
      <c r="E133" s="3">
        <f>C133-D133</f>
        <v>0</v>
      </c>
      <c r="F133" s="17" t="str">
        <f t="shared" ref="F133:F143" si="13">IFERROR(D133/C133,"")</f>
        <v/>
      </c>
      <c r="G133" s="3"/>
      <c r="I133" s="11" t="s">
        <v>44</v>
      </c>
      <c r="J133" s="11" t="s">
        <v>45</v>
      </c>
      <c r="K133" s="11" t="s">
        <v>46</v>
      </c>
      <c r="L133" s="11" t="s">
        <v>47</v>
      </c>
      <c r="M133" s="11" t="s">
        <v>48</v>
      </c>
      <c r="N133" s="11" t="s">
        <v>49</v>
      </c>
      <c r="O133" s="11" t="s">
        <v>50</v>
      </c>
      <c r="P133" s="11" t="s">
        <v>51</v>
      </c>
      <c r="Q133" s="11" t="s">
        <v>52</v>
      </c>
      <c r="R133" s="11" t="s">
        <v>53</v>
      </c>
      <c r="S133" s="11" t="s">
        <v>54</v>
      </c>
      <c r="T133" s="11" t="s">
        <v>55</v>
      </c>
      <c r="U133" s="11" t="s">
        <v>56</v>
      </c>
      <c r="V133" s="11" t="s">
        <v>57</v>
      </c>
      <c r="W133" s="11" t="s">
        <v>58</v>
      </c>
      <c r="X133" s="11" t="s">
        <v>59</v>
      </c>
      <c r="Y133" s="11" t="s">
        <v>60</v>
      </c>
      <c r="Z133" s="11" t="s">
        <v>61</v>
      </c>
      <c r="AA133" s="11" t="s">
        <v>62</v>
      </c>
      <c r="AB133" s="11" t="s">
        <v>63</v>
      </c>
      <c r="AC133" s="11" t="s">
        <v>64</v>
      </c>
      <c r="AD133" s="11" t="s">
        <v>65</v>
      </c>
      <c r="AE133" s="11" t="s">
        <v>66</v>
      </c>
      <c r="AF133" s="11" t="s">
        <v>67</v>
      </c>
      <c r="AG133" s="11" t="s">
        <v>68</v>
      </c>
      <c r="AH133" s="11" t="s">
        <v>69</v>
      </c>
      <c r="AI133" s="11" t="s">
        <v>70</v>
      </c>
      <c r="AJ133" s="11" t="s">
        <v>71</v>
      </c>
      <c r="AK133" s="11" t="s">
        <v>72</v>
      </c>
      <c r="AL133" s="11" t="s">
        <v>73</v>
      </c>
      <c r="AM133" s="11" t="s">
        <v>74</v>
      </c>
      <c r="AN133" s="25"/>
      <c r="AO133" s="25"/>
    </row>
    <row r="134" spans="2:41" x14ac:dyDescent="0.2">
      <c r="B134" s="22" t="str">
        <f>'Wzorzec kategorii'!B96</f>
        <v>Ubranie zwykłe</v>
      </c>
      <c r="C134" s="19">
        <v>0</v>
      </c>
      <c r="D134" s="20">
        <f>SUM(Tabela19212446398[#This Row])</f>
        <v>0</v>
      </c>
      <c r="E134" s="20">
        <f t="shared" ref="E134:E143" si="14">C134-D134</f>
        <v>0</v>
      </c>
      <c r="F134" s="21" t="str">
        <f t="shared" si="13"/>
        <v/>
      </c>
      <c r="G134" s="2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25"/>
      <c r="AO134" s="25"/>
    </row>
    <row r="135" spans="2:41" x14ac:dyDescent="0.2">
      <c r="B135" s="22" t="str">
        <f>'Wzorzec kategorii'!B97</f>
        <v>Ubranie sportowe</v>
      </c>
      <c r="C135" s="19">
        <v>0</v>
      </c>
      <c r="D135" s="20">
        <f>SUM(Tabela19212446398[#This Row])</f>
        <v>0</v>
      </c>
      <c r="E135" s="20">
        <f t="shared" si="14"/>
        <v>0</v>
      </c>
      <c r="F135" s="21" t="str">
        <f t="shared" si="13"/>
        <v/>
      </c>
      <c r="G135" s="24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25"/>
      <c r="AO135" s="25"/>
    </row>
    <row r="136" spans="2:41" x14ac:dyDescent="0.2">
      <c r="B136" s="22" t="str">
        <f>'Wzorzec kategorii'!B98</f>
        <v>Buty</v>
      </c>
      <c r="C136" s="19">
        <v>0</v>
      </c>
      <c r="D136" s="20">
        <f>SUM(Tabela19212446398[#This Row])</f>
        <v>0</v>
      </c>
      <c r="E136" s="20">
        <f t="shared" si="14"/>
        <v>0</v>
      </c>
      <c r="F136" s="21" t="str">
        <f t="shared" si="13"/>
        <v/>
      </c>
      <c r="G136" s="24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25"/>
      <c r="AO136" s="25"/>
    </row>
    <row r="137" spans="2:41" x14ac:dyDescent="0.2">
      <c r="B137" s="22" t="str">
        <f>'Wzorzec kategorii'!B99</f>
        <v>Dodatki</v>
      </c>
      <c r="C137" s="19">
        <v>0</v>
      </c>
      <c r="D137" s="20">
        <f>SUM(Tabela19212446398[#This Row])</f>
        <v>0</v>
      </c>
      <c r="E137" s="20">
        <f t="shared" si="14"/>
        <v>0</v>
      </c>
      <c r="F137" s="21" t="str">
        <f t="shared" si="13"/>
        <v/>
      </c>
      <c r="G137" s="2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25"/>
      <c r="AO137" s="25"/>
    </row>
    <row r="138" spans="2:41" x14ac:dyDescent="0.2">
      <c r="B138" s="22" t="str">
        <f>'Wzorzec kategorii'!B100</f>
        <v>Inne</v>
      </c>
      <c r="C138" s="19">
        <v>0</v>
      </c>
      <c r="D138" s="20">
        <f>SUM(Tabela19212446398[#This Row])</f>
        <v>0</v>
      </c>
      <c r="E138" s="20">
        <f t="shared" si="14"/>
        <v>0</v>
      </c>
      <c r="F138" s="21" t="str">
        <f t="shared" si="13"/>
        <v/>
      </c>
      <c r="G138" s="2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25"/>
      <c r="AO138" s="25"/>
    </row>
    <row r="139" spans="2:41" x14ac:dyDescent="0.2">
      <c r="B139" s="50" t="str">
        <f>'Wzorzec kategorii'!B101</f>
        <v>.</v>
      </c>
      <c r="C139" s="19">
        <v>0</v>
      </c>
      <c r="D139" s="20">
        <f>SUM(Tabela19212446398[#This Row])</f>
        <v>0</v>
      </c>
      <c r="E139" s="20">
        <f t="shared" si="14"/>
        <v>0</v>
      </c>
      <c r="F139" s="53" t="str">
        <f t="shared" si="13"/>
        <v/>
      </c>
      <c r="G139" s="54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25"/>
      <c r="AO139" s="25"/>
    </row>
    <row r="140" spans="2:41" x14ac:dyDescent="0.2">
      <c r="B140" s="50" t="str">
        <f>'Wzorzec kategorii'!B102</f>
        <v>.</v>
      </c>
      <c r="C140" s="19">
        <v>0</v>
      </c>
      <c r="D140" s="20">
        <f>SUM(Tabela19212446398[#This Row])</f>
        <v>0</v>
      </c>
      <c r="E140" s="20">
        <f t="shared" si="14"/>
        <v>0</v>
      </c>
      <c r="F140" s="53" t="str">
        <f t="shared" si="13"/>
        <v/>
      </c>
      <c r="G140" s="54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25"/>
      <c r="AO140" s="25"/>
    </row>
    <row r="141" spans="2:41" x14ac:dyDescent="0.2">
      <c r="B141" s="50" t="str">
        <f>'Wzorzec kategorii'!B103</f>
        <v>.</v>
      </c>
      <c r="C141" s="19">
        <v>0</v>
      </c>
      <c r="D141" s="20">
        <f>SUM(Tabela19212446398[#This Row])</f>
        <v>0</v>
      </c>
      <c r="E141" s="20">
        <f t="shared" si="14"/>
        <v>0</v>
      </c>
      <c r="F141" s="53" t="str">
        <f t="shared" si="13"/>
        <v/>
      </c>
      <c r="G141" s="54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25"/>
      <c r="AO141" s="25"/>
    </row>
    <row r="142" spans="2:41" x14ac:dyDescent="0.2">
      <c r="B142" s="50" t="str">
        <f>'Wzorzec kategorii'!B104</f>
        <v>.</v>
      </c>
      <c r="C142" s="19">
        <v>0</v>
      </c>
      <c r="D142" s="20">
        <f>SUM(Tabela19212446398[#This Row])</f>
        <v>0</v>
      </c>
      <c r="E142" s="20">
        <f t="shared" si="14"/>
        <v>0</v>
      </c>
      <c r="F142" s="53" t="str">
        <f t="shared" si="13"/>
        <v/>
      </c>
      <c r="G142" s="54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25"/>
      <c r="AO142" s="25"/>
    </row>
    <row r="143" spans="2:41" x14ac:dyDescent="0.2">
      <c r="B143" s="50" t="str">
        <f>'Wzorzec kategorii'!B105</f>
        <v>.</v>
      </c>
      <c r="C143" s="19">
        <v>0</v>
      </c>
      <c r="D143" s="20">
        <f>SUM(Tabela19212446398[#This Row])</f>
        <v>0</v>
      </c>
      <c r="E143" s="20">
        <f t="shared" si="14"/>
        <v>0</v>
      </c>
      <c r="F143" s="53" t="str">
        <f t="shared" si="13"/>
        <v/>
      </c>
      <c r="G143" s="54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25"/>
      <c r="AO143" s="25"/>
    </row>
    <row r="144" spans="2:41" x14ac:dyDescent="0.2">
      <c r="B144" s="5" t="s">
        <v>30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</row>
    <row r="145" spans="2:41" x14ac:dyDescent="0.2">
      <c r="B145" s="2" t="str">
        <f>'Wzorzec kategorii'!B107</f>
        <v>Higiena</v>
      </c>
      <c r="C145" s="3">
        <f>SUM(Tabela1135374[[#All],[Kolumna2]])</f>
        <v>0</v>
      </c>
      <c r="D145" s="16">
        <f>SUM(Tabela1135374[[#All],[Kolumna3]])</f>
        <v>0</v>
      </c>
      <c r="E145" s="3">
        <f>C145-D145</f>
        <v>0</v>
      </c>
      <c r="F145" s="17" t="str">
        <f t="shared" ref="F145:F155" si="15">IFERROR(D145/C145,"")</f>
        <v/>
      </c>
      <c r="G145" s="3"/>
      <c r="I145" s="11" t="s">
        <v>44</v>
      </c>
      <c r="J145" s="11" t="s">
        <v>45</v>
      </c>
      <c r="K145" s="11" t="s">
        <v>46</v>
      </c>
      <c r="L145" s="11" t="s">
        <v>47</v>
      </c>
      <c r="M145" s="11" t="s">
        <v>48</v>
      </c>
      <c r="N145" s="11" t="s">
        <v>49</v>
      </c>
      <c r="O145" s="11" t="s">
        <v>50</v>
      </c>
      <c r="P145" s="11" t="s">
        <v>51</v>
      </c>
      <c r="Q145" s="11" t="s">
        <v>52</v>
      </c>
      <c r="R145" s="11" t="s">
        <v>53</v>
      </c>
      <c r="S145" s="11" t="s">
        <v>54</v>
      </c>
      <c r="T145" s="11" t="s">
        <v>55</v>
      </c>
      <c r="U145" s="11" t="s">
        <v>56</v>
      </c>
      <c r="V145" s="11" t="s">
        <v>57</v>
      </c>
      <c r="W145" s="11" t="s">
        <v>58</v>
      </c>
      <c r="X145" s="11" t="s">
        <v>59</v>
      </c>
      <c r="Y145" s="11" t="s">
        <v>60</v>
      </c>
      <c r="Z145" s="11" t="s">
        <v>61</v>
      </c>
      <c r="AA145" s="11" t="s">
        <v>62</v>
      </c>
      <c r="AB145" s="11" t="s">
        <v>63</v>
      </c>
      <c r="AC145" s="11" t="s">
        <v>64</v>
      </c>
      <c r="AD145" s="11" t="s">
        <v>65</v>
      </c>
      <c r="AE145" s="11" t="s">
        <v>66</v>
      </c>
      <c r="AF145" s="11" t="s">
        <v>67</v>
      </c>
      <c r="AG145" s="11" t="s">
        <v>68</v>
      </c>
      <c r="AH145" s="11" t="s">
        <v>69</v>
      </c>
      <c r="AI145" s="11" t="s">
        <v>70</v>
      </c>
      <c r="AJ145" s="11" t="s">
        <v>71</v>
      </c>
      <c r="AK145" s="11" t="s">
        <v>72</v>
      </c>
      <c r="AL145" s="11" t="s">
        <v>73</v>
      </c>
      <c r="AM145" s="11" t="s">
        <v>74</v>
      </c>
      <c r="AN145" s="25"/>
      <c r="AO145" s="25"/>
    </row>
    <row r="146" spans="2:41" x14ac:dyDescent="0.2">
      <c r="B146" s="22" t="str">
        <f>'Wzorzec kategorii'!B108</f>
        <v>Kosmetyki</v>
      </c>
      <c r="C146" s="19">
        <v>0</v>
      </c>
      <c r="D146" s="20">
        <f>SUM(Tabela192244396[#This Row])</f>
        <v>0</v>
      </c>
      <c r="E146" s="20">
        <f t="shared" ref="E146:E155" si="16">C146-D146</f>
        <v>0</v>
      </c>
      <c r="F146" s="21" t="str">
        <f t="shared" si="15"/>
        <v/>
      </c>
      <c r="G146" s="24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25"/>
      <c r="AO146" s="25"/>
    </row>
    <row r="147" spans="2:41" x14ac:dyDescent="0.2">
      <c r="B147" s="22" t="str">
        <f>'Wzorzec kategorii'!B109</f>
        <v>Środki czystości (chemia)</v>
      </c>
      <c r="C147" s="19">
        <v>0</v>
      </c>
      <c r="D147" s="20">
        <f>SUM(Tabela192244396[#This Row])</f>
        <v>0</v>
      </c>
      <c r="E147" s="20">
        <f t="shared" si="16"/>
        <v>0</v>
      </c>
      <c r="F147" s="21" t="str">
        <f t="shared" si="15"/>
        <v/>
      </c>
      <c r="G147" s="2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25"/>
      <c r="AO147" s="25"/>
    </row>
    <row r="148" spans="2:41" x14ac:dyDescent="0.2">
      <c r="B148" s="22" t="str">
        <f>'Wzorzec kategorii'!B110</f>
        <v>Fryzjer</v>
      </c>
      <c r="C148" s="19">
        <v>0</v>
      </c>
      <c r="D148" s="20">
        <f>SUM(Tabela192244396[#This Row])</f>
        <v>0</v>
      </c>
      <c r="E148" s="20">
        <f t="shared" si="16"/>
        <v>0</v>
      </c>
      <c r="F148" s="21" t="str">
        <f t="shared" si="15"/>
        <v/>
      </c>
      <c r="G148" s="2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25"/>
      <c r="AO148" s="25"/>
    </row>
    <row r="149" spans="2:41" x14ac:dyDescent="0.2">
      <c r="B149" s="22" t="str">
        <f>'Wzorzec kategorii'!B111</f>
        <v>Kosmetyczka</v>
      </c>
      <c r="C149" s="19">
        <v>0</v>
      </c>
      <c r="D149" s="20">
        <f>SUM(Tabela192244396[#This Row])</f>
        <v>0</v>
      </c>
      <c r="E149" s="20">
        <f t="shared" si="16"/>
        <v>0</v>
      </c>
      <c r="F149" s="21" t="str">
        <f t="shared" si="15"/>
        <v/>
      </c>
      <c r="G149" s="2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25"/>
      <c r="AO149" s="25"/>
    </row>
    <row r="150" spans="2:41" x14ac:dyDescent="0.2">
      <c r="B150" s="22" t="str">
        <f>'Wzorzec kategorii'!B112</f>
        <v>Inne</v>
      </c>
      <c r="C150" s="19">
        <v>0</v>
      </c>
      <c r="D150" s="20">
        <f>SUM(Tabela192244396[#This Row])</f>
        <v>0</v>
      </c>
      <c r="E150" s="20">
        <f t="shared" si="16"/>
        <v>0</v>
      </c>
      <c r="F150" s="21" t="str">
        <f t="shared" si="15"/>
        <v/>
      </c>
      <c r="G150" s="2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25"/>
      <c r="AO150" s="25"/>
    </row>
    <row r="151" spans="2:41" x14ac:dyDescent="0.2">
      <c r="B151" s="22" t="str">
        <f>'Wzorzec kategorii'!B113</f>
        <v>.</v>
      </c>
      <c r="C151" s="19">
        <v>0</v>
      </c>
      <c r="D151" s="20">
        <f>SUM(Tabela192244396[#This Row])</f>
        <v>0</v>
      </c>
      <c r="E151" s="20">
        <f t="shared" si="16"/>
        <v>0</v>
      </c>
      <c r="F151" s="53" t="str">
        <f t="shared" si="15"/>
        <v/>
      </c>
      <c r="G151" s="54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25"/>
      <c r="AO151" s="25"/>
    </row>
    <row r="152" spans="2:41" x14ac:dyDescent="0.2">
      <c r="B152" s="22" t="str">
        <f>'Wzorzec kategorii'!B114</f>
        <v>.</v>
      </c>
      <c r="C152" s="19">
        <v>0</v>
      </c>
      <c r="D152" s="20">
        <f>SUM(Tabela192244396[#This Row])</f>
        <v>0</v>
      </c>
      <c r="E152" s="20">
        <f t="shared" si="16"/>
        <v>0</v>
      </c>
      <c r="F152" s="53" t="str">
        <f t="shared" si="15"/>
        <v/>
      </c>
      <c r="G152" s="54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25"/>
      <c r="AO152" s="25"/>
    </row>
    <row r="153" spans="2:41" x14ac:dyDescent="0.2">
      <c r="B153" s="22" t="str">
        <f>'Wzorzec kategorii'!B115</f>
        <v>.</v>
      </c>
      <c r="C153" s="19">
        <v>0</v>
      </c>
      <c r="D153" s="20">
        <f>SUM(Tabela192244396[#This Row])</f>
        <v>0</v>
      </c>
      <c r="E153" s="20">
        <f t="shared" si="16"/>
        <v>0</v>
      </c>
      <c r="F153" s="53" t="str">
        <f t="shared" si="15"/>
        <v/>
      </c>
      <c r="G153" s="54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25"/>
      <c r="AO153" s="25"/>
    </row>
    <row r="154" spans="2:41" x14ac:dyDescent="0.2">
      <c r="B154" s="22" t="str">
        <f>'Wzorzec kategorii'!B116</f>
        <v>.</v>
      </c>
      <c r="C154" s="19">
        <v>0</v>
      </c>
      <c r="D154" s="20">
        <f>SUM(Tabela192244396[#This Row])</f>
        <v>0</v>
      </c>
      <c r="E154" s="20">
        <f t="shared" si="16"/>
        <v>0</v>
      </c>
      <c r="F154" s="53" t="str">
        <f t="shared" si="15"/>
        <v/>
      </c>
      <c r="G154" s="54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25"/>
      <c r="AO154" s="25"/>
    </row>
    <row r="155" spans="2:41" x14ac:dyDescent="0.2">
      <c r="B155" s="22" t="str">
        <f>'Wzorzec kategorii'!B117</f>
        <v>.</v>
      </c>
      <c r="C155" s="19">
        <v>0</v>
      </c>
      <c r="D155" s="20">
        <f>SUM(Tabela192244396[#This Row])</f>
        <v>0</v>
      </c>
      <c r="E155" s="20">
        <f t="shared" si="16"/>
        <v>0</v>
      </c>
      <c r="F155" s="53" t="str">
        <f t="shared" si="15"/>
        <v/>
      </c>
      <c r="G155" s="54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25"/>
      <c r="AO155" s="25"/>
    </row>
    <row r="156" spans="2:41" x14ac:dyDescent="0.2">
      <c r="B156" s="5" t="s">
        <v>30</v>
      </c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</row>
    <row r="157" spans="2:41" x14ac:dyDescent="0.2">
      <c r="B157" s="2" t="str">
        <f>'Wzorzec kategorii'!B119</f>
        <v>Dzieci</v>
      </c>
      <c r="C157" s="3">
        <f>SUM(Tabela1236375[[#All],[Kolumna2]])</f>
        <v>0</v>
      </c>
      <c r="D157" s="16">
        <f>SUM(Tabela1236375[[#All],[Kolumna3]])</f>
        <v>0</v>
      </c>
      <c r="E157" s="3">
        <f>C157-D157</f>
        <v>0</v>
      </c>
      <c r="F157" s="17" t="str">
        <f>IFERROR(D157/C157,"")</f>
        <v/>
      </c>
      <c r="G157" s="3"/>
      <c r="I157" s="11" t="s">
        <v>44</v>
      </c>
      <c r="J157" s="11" t="s">
        <v>45</v>
      </c>
      <c r="K157" s="11" t="s">
        <v>46</v>
      </c>
      <c r="L157" s="11" t="s">
        <v>47</v>
      </c>
      <c r="M157" s="11" t="s">
        <v>48</v>
      </c>
      <c r="N157" s="11" t="s">
        <v>49</v>
      </c>
      <c r="O157" s="11" t="s">
        <v>50</v>
      </c>
      <c r="P157" s="11" t="s">
        <v>51</v>
      </c>
      <c r="Q157" s="11" t="s">
        <v>52</v>
      </c>
      <c r="R157" s="11" t="s">
        <v>53</v>
      </c>
      <c r="S157" s="11" t="s">
        <v>54</v>
      </c>
      <c r="T157" s="11" t="s">
        <v>55</v>
      </c>
      <c r="U157" s="11" t="s">
        <v>56</v>
      </c>
      <c r="V157" s="11" t="s">
        <v>57</v>
      </c>
      <c r="W157" s="11" t="s">
        <v>58</v>
      </c>
      <c r="X157" s="11" t="s">
        <v>59</v>
      </c>
      <c r="Y157" s="11" t="s">
        <v>60</v>
      </c>
      <c r="Z157" s="11" t="s">
        <v>61</v>
      </c>
      <c r="AA157" s="11" t="s">
        <v>62</v>
      </c>
      <c r="AB157" s="11" t="s">
        <v>63</v>
      </c>
      <c r="AC157" s="11" t="s">
        <v>64</v>
      </c>
      <c r="AD157" s="11" t="s">
        <v>65</v>
      </c>
      <c r="AE157" s="11" t="s">
        <v>66</v>
      </c>
      <c r="AF157" s="11" t="s">
        <v>67</v>
      </c>
      <c r="AG157" s="11" t="s">
        <v>68</v>
      </c>
      <c r="AH157" s="11" t="s">
        <v>69</v>
      </c>
      <c r="AI157" s="11" t="s">
        <v>70</v>
      </c>
      <c r="AJ157" s="11" t="s">
        <v>71</v>
      </c>
      <c r="AK157" s="11" t="s">
        <v>72</v>
      </c>
      <c r="AL157" s="11" t="s">
        <v>73</v>
      </c>
      <c r="AM157" s="11" t="s">
        <v>74</v>
      </c>
      <c r="AN157" s="25"/>
      <c r="AO157" s="25"/>
    </row>
    <row r="158" spans="2:41" x14ac:dyDescent="0.2">
      <c r="B158" s="22" t="str">
        <f>'Wzorzec kategorii'!B120</f>
        <v>Artykuły szkolne</v>
      </c>
      <c r="C158" s="19">
        <v>0</v>
      </c>
      <c r="D158" s="20">
        <f>SUM(Tabela2548400[#This Row])</f>
        <v>0</v>
      </c>
      <c r="E158" s="20">
        <f t="shared" ref="E158:E167" si="17">C158-D158</f>
        <v>0</v>
      </c>
      <c r="F158" s="21" t="str">
        <f t="shared" ref="F158:F167" si="18">IFERROR(D158/C158,"")</f>
        <v/>
      </c>
      <c r="G158" s="2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25"/>
      <c r="AO158" s="25"/>
    </row>
    <row r="159" spans="2:41" x14ac:dyDescent="0.2">
      <c r="B159" s="22" t="str">
        <f>'Wzorzec kategorii'!B121</f>
        <v>Dodatkowe zajęcia</v>
      </c>
      <c r="C159" s="19">
        <v>0</v>
      </c>
      <c r="D159" s="20">
        <f>SUM(Tabela2548400[#This Row])</f>
        <v>0</v>
      </c>
      <c r="E159" s="20">
        <f t="shared" si="17"/>
        <v>0</v>
      </c>
      <c r="F159" s="21" t="str">
        <f t="shared" si="18"/>
        <v/>
      </c>
      <c r="G159" s="2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25"/>
      <c r="AO159" s="25"/>
    </row>
    <row r="160" spans="2:41" x14ac:dyDescent="0.2">
      <c r="B160" s="22" t="str">
        <f>'Wzorzec kategorii'!B122</f>
        <v>Wpłaty na szkołę itp.</v>
      </c>
      <c r="C160" s="19">
        <v>0</v>
      </c>
      <c r="D160" s="20">
        <f>SUM(Tabela2548400[#This Row])</f>
        <v>0</v>
      </c>
      <c r="E160" s="20">
        <f t="shared" si="17"/>
        <v>0</v>
      </c>
      <c r="F160" s="21" t="str">
        <f t="shared" si="18"/>
        <v/>
      </c>
      <c r="G160" s="2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25"/>
      <c r="AO160" s="25"/>
    </row>
    <row r="161" spans="2:41" x14ac:dyDescent="0.2">
      <c r="B161" s="22" t="str">
        <f>'Wzorzec kategorii'!B123</f>
        <v>Zabawki / gry</v>
      </c>
      <c r="C161" s="19">
        <v>0</v>
      </c>
      <c r="D161" s="20">
        <f>SUM(Tabela2548400[#This Row])</f>
        <v>0</v>
      </c>
      <c r="E161" s="20">
        <f t="shared" si="17"/>
        <v>0</v>
      </c>
      <c r="F161" s="21" t="str">
        <f t="shared" si="18"/>
        <v/>
      </c>
      <c r="G161" s="2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25"/>
      <c r="AO161" s="25"/>
    </row>
    <row r="162" spans="2:41" x14ac:dyDescent="0.2">
      <c r="B162" s="22" t="str">
        <f>'Wzorzec kategorii'!B124</f>
        <v>Opieka nad dziećmi</v>
      </c>
      <c r="C162" s="19">
        <v>0</v>
      </c>
      <c r="D162" s="20">
        <f>SUM(Tabela2548400[#This Row])</f>
        <v>0</v>
      </c>
      <c r="E162" s="20">
        <f t="shared" si="17"/>
        <v>0</v>
      </c>
      <c r="F162" s="21" t="str">
        <f t="shared" si="18"/>
        <v/>
      </c>
      <c r="G162" s="2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25"/>
      <c r="AO162" s="25"/>
    </row>
    <row r="163" spans="2:41" x14ac:dyDescent="0.2">
      <c r="B163" s="22" t="str">
        <f>'Wzorzec kategorii'!B125</f>
        <v>Inne</v>
      </c>
      <c r="C163" s="19">
        <v>0</v>
      </c>
      <c r="D163" s="20">
        <f>SUM(Tabela2548400[#This Row])</f>
        <v>0</v>
      </c>
      <c r="E163" s="20">
        <f t="shared" si="17"/>
        <v>0</v>
      </c>
      <c r="F163" s="21" t="str">
        <f t="shared" si="18"/>
        <v/>
      </c>
      <c r="G163" s="24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25"/>
      <c r="AO163" s="25"/>
    </row>
    <row r="164" spans="2:41" x14ac:dyDescent="0.2">
      <c r="B164" s="51" t="str">
        <f>'Wzorzec kategorii'!B126</f>
        <v>.</v>
      </c>
      <c r="C164" s="19">
        <v>0</v>
      </c>
      <c r="D164" s="20">
        <f>SUM(Tabela2548400[#This Row])</f>
        <v>0</v>
      </c>
      <c r="E164" s="20">
        <f t="shared" si="17"/>
        <v>0</v>
      </c>
      <c r="F164" s="53" t="str">
        <f t="shared" si="18"/>
        <v/>
      </c>
      <c r="G164" s="24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25"/>
      <c r="AO164" s="25"/>
    </row>
    <row r="165" spans="2:41" x14ac:dyDescent="0.2">
      <c r="B165" s="51" t="str">
        <f>'Wzorzec kategorii'!B127</f>
        <v>.</v>
      </c>
      <c r="C165" s="19">
        <v>0</v>
      </c>
      <c r="D165" s="20">
        <f>SUM(Tabela2548400[#This Row])</f>
        <v>0</v>
      </c>
      <c r="E165" s="20">
        <f t="shared" si="17"/>
        <v>0</v>
      </c>
      <c r="F165" s="53" t="str">
        <f t="shared" si="18"/>
        <v/>
      </c>
      <c r="G165" s="24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25"/>
      <c r="AO165" s="25"/>
    </row>
    <row r="166" spans="2:41" x14ac:dyDescent="0.2">
      <c r="B166" s="51" t="str">
        <f>'Wzorzec kategorii'!B128</f>
        <v>.</v>
      </c>
      <c r="C166" s="19">
        <v>0</v>
      </c>
      <c r="D166" s="20">
        <f>SUM(Tabela2548400[#This Row])</f>
        <v>0</v>
      </c>
      <c r="E166" s="20">
        <f t="shared" si="17"/>
        <v>0</v>
      </c>
      <c r="F166" s="53" t="str">
        <f t="shared" si="18"/>
        <v/>
      </c>
      <c r="G166" s="24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25"/>
      <c r="AO166" s="25"/>
    </row>
    <row r="167" spans="2:41" x14ac:dyDescent="0.2">
      <c r="B167" s="51" t="str">
        <f>'Wzorzec kategorii'!B129</f>
        <v>.</v>
      </c>
      <c r="C167" s="19">
        <v>0</v>
      </c>
      <c r="D167" s="20">
        <f>SUM(Tabela2548400[#This Row])</f>
        <v>0</v>
      </c>
      <c r="E167" s="20">
        <f t="shared" si="17"/>
        <v>0</v>
      </c>
      <c r="F167" s="53" t="str">
        <f t="shared" si="18"/>
        <v/>
      </c>
      <c r="G167" s="24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25"/>
      <c r="AO167" s="25"/>
    </row>
    <row r="168" spans="2:41" x14ac:dyDescent="0.2">
      <c r="B168" s="5" t="s">
        <v>30</v>
      </c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</row>
    <row r="169" spans="2:41" x14ac:dyDescent="0.2">
      <c r="B169" s="2" t="str">
        <f>'Wzorzec kategorii'!B131</f>
        <v>Rozrywka</v>
      </c>
      <c r="C169" s="3">
        <f>SUM(Tabela1337376[[#All],[Kolumna2]])</f>
        <v>0</v>
      </c>
      <c r="D169" s="16">
        <f>SUM(Tabela1337376[[#All],[Kolumna3]])</f>
        <v>0</v>
      </c>
      <c r="E169" s="3">
        <f>C169-D169</f>
        <v>0</v>
      </c>
      <c r="F169" s="17" t="str">
        <f>IFERROR(D169/C169,"")</f>
        <v/>
      </c>
      <c r="G169" s="3"/>
      <c r="I169" s="11" t="s">
        <v>44</v>
      </c>
      <c r="J169" s="11" t="s">
        <v>45</v>
      </c>
      <c r="K169" s="11" t="s">
        <v>46</v>
      </c>
      <c r="L169" s="11" t="s">
        <v>47</v>
      </c>
      <c r="M169" s="11" t="s">
        <v>48</v>
      </c>
      <c r="N169" s="11" t="s">
        <v>49</v>
      </c>
      <c r="O169" s="11" t="s">
        <v>50</v>
      </c>
      <c r="P169" s="11" t="s">
        <v>51</v>
      </c>
      <c r="Q169" s="11" t="s">
        <v>52</v>
      </c>
      <c r="R169" s="11" t="s">
        <v>53</v>
      </c>
      <c r="S169" s="11" t="s">
        <v>54</v>
      </c>
      <c r="T169" s="11" t="s">
        <v>55</v>
      </c>
      <c r="U169" s="11" t="s">
        <v>56</v>
      </c>
      <c r="V169" s="11" t="s">
        <v>57</v>
      </c>
      <c r="W169" s="11" t="s">
        <v>58</v>
      </c>
      <c r="X169" s="11" t="s">
        <v>59</v>
      </c>
      <c r="Y169" s="11" t="s">
        <v>60</v>
      </c>
      <c r="Z169" s="11" t="s">
        <v>61</v>
      </c>
      <c r="AA169" s="11" t="s">
        <v>62</v>
      </c>
      <c r="AB169" s="11" t="s">
        <v>63</v>
      </c>
      <c r="AC169" s="11" t="s">
        <v>64</v>
      </c>
      <c r="AD169" s="11" t="s">
        <v>65</v>
      </c>
      <c r="AE169" s="11" t="s">
        <v>66</v>
      </c>
      <c r="AF169" s="11" t="s">
        <v>67</v>
      </c>
      <c r="AG169" s="11" t="s">
        <v>68</v>
      </c>
      <c r="AH169" s="11" t="s">
        <v>69</v>
      </c>
      <c r="AI169" s="11" t="s">
        <v>70</v>
      </c>
      <c r="AJ169" s="11" t="s">
        <v>71</v>
      </c>
      <c r="AK169" s="11" t="s">
        <v>72</v>
      </c>
      <c r="AL169" s="11" t="s">
        <v>73</v>
      </c>
      <c r="AM169" s="11" t="s">
        <v>74</v>
      </c>
      <c r="AN169" s="25"/>
      <c r="AO169" s="25"/>
    </row>
    <row r="170" spans="2:41" x14ac:dyDescent="0.2">
      <c r="B170" s="22" t="str">
        <f>'Wzorzec kategorii'!B132</f>
        <v>Siłownia / Basen</v>
      </c>
      <c r="C170" s="19">
        <v>0</v>
      </c>
      <c r="D170" s="20">
        <f>SUM(Tabela2649401[#This Row])</f>
        <v>0</v>
      </c>
      <c r="E170" s="20">
        <f t="shared" ref="E170:E179" si="19">C170-D170</f>
        <v>0</v>
      </c>
      <c r="F170" s="21" t="str">
        <f t="shared" ref="F170:F179" si="20">IFERROR(D170/C170,"")</f>
        <v/>
      </c>
      <c r="G170" s="24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25"/>
      <c r="AO170" s="25"/>
    </row>
    <row r="171" spans="2:41" x14ac:dyDescent="0.2">
      <c r="B171" s="22" t="str">
        <f>'Wzorzec kategorii'!B133</f>
        <v>Kino / Teatr</v>
      </c>
      <c r="C171" s="19">
        <v>0</v>
      </c>
      <c r="D171" s="20">
        <f>SUM(Tabela2649401[#This Row])</f>
        <v>0</v>
      </c>
      <c r="E171" s="20">
        <f t="shared" si="19"/>
        <v>0</v>
      </c>
      <c r="F171" s="21" t="str">
        <f t="shared" si="20"/>
        <v/>
      </c>
      <c r="G171" s="24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25"/>
      <c r="AO171" s="25"/>
    </row>
    <row r="172" spans="2:41" x14ac:dyDescent="0.2">
      <c r="B172" s="22" t="str">
        <f>'Wzorzec kategorii'!B134</f>
        <v>Koncerty</v>
      </c>
      <c r="C172" s="19">
        <v>0</v>
      </c>
      <c r="D172" s="20">
        <f>SUM(Tabela2649401[#This Row])</f>
        <v>0</v>
      </c>
      <c r="E172" s="20">
        <f t="shared" si="19"/>
        <v>0</v>
      </c>
      <c r="F172" s="21" t="str">
        <f t="shared" si="20"/>
        <v/>
      </c>
      <c r="G172" s="24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25"/>
      <c r="AO172" s="25"/>
    </row>
    <row r="173" spans="2:41" x14ac:dyDescent="0.2">
      <c r="B173" s="22" t="str">
        <f>'Wzorzec kategorii'!B135</f>
        <v>Czasopisma</v>
      </c>
      <c r="C173" s="19">
        <v>0</v>
      </c>
      <c r="D173" s="20">
        <f>SUM(Tabela2649401[#This Row])</f>
        <v>0</v>
      </c>
      <c r="E173" s="20">
        <f t="shared" si="19"/>
        <v>0</v>
      </c>
      <c r="F173" s="21" t="str">
        <f t="shared" si="20"/>
        <v/>
      </c>
      <c r="G173" s="24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25"/>
      <c r="AO173" s="25"/>
    </row>
    <row r="174" spans="2:41" x14ac:dyDescent="0.2">
      <c r="B174" s="22" t="str">
        <f>'Wzorzec kategorii'!B136</f>
        <v>Książki</v>
      </c>
      <c r="C174" s="19">
        <v>0</v>
      </c>
      <c r="D174" s="20">
        <f>SUM(Tabela2649401[#This Row])</f>
        <v>0</v>
      </c>
      <c r="E174" s="20">
        <f t="shared" si="19"/>
        <v>0</v>
      </c>
      <c r="F174" s="21" t="str">
        <f t="shared" si="20"/>
        <v/>
      </c>
      <c r="G174" s="24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25"/>
      <c r="AO174" s="25"/>
    </row>
    <row r="175" spans="2:41" x14ac:dyDescent="0.2">
      <c r="B175" s="22" t="str">
        <f>'Wzorzec kategorii'!B137</f>
        <v>Hobby</v>
      </c>
      <c r="C175" s="19">
        <v>0</v>
      </c>
      <c r="D175" s="20">
        <f>SUM(Tabela2649401[#This Row])</f>
        <v>0</v>
      </c>
      <c r="E175" s="20">
        <f t="shared" si="19"/>
        <v>0</v>
      </c>
      <c r="F175" s="21" t="str">
        <f t="shared" si="20"/>
        <v/>
      </c>
      <c r="G175" s="24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25"/>
      <c r="AO175" s="25"/>
    </row>
    <row r="176" spans="2:41" x14ac:dyDescent="0.2">
      <c r="B176" s="22" t="str">
        <f>'Wzorzec kategorii'!B138</f>
        <v>Hotel / Turystyka</v>
      </c>
      <c r="C176" s="19">
        <v>0</v>
      </c>
      <c r="D176" s="20">
        <f>SUM(Tabela2649401[#This Row])</f>
        <v>0</v>
      </c>
      <c r="E176" s="20">
        <f t="shared" si="19"/>
        <v>0</v>
      </c>
      <c r="F176" s="21" t="str">
        <f t="shared" si="20"/>
        <v/>
      </c>
      <c r="G176" s="24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25"/>
      <c r="AO176" s="25"/>
    </row>
    <row r="177" spans="2:41" x14ac:dyDescent="0.2">
      <c r="B177" s="22" t="str">
        <f>'Wzorzec kategorii'!B139</f>
        <v>Inne</v>
      </c>
      <c r="C177" s="19">
        <v>0</v>
      </c>
      <c r="D177" s="20">
        <f>SUM(Tabela2649401[#This Row])</f>
        <v>0</v>
      </c>
      <c r="E177" s="20">
        <f t="shared" si="19"/>
        <v>0</v>
      </c>
      <c r="F177" s="21" t="str">
        <f t="shared" si="20"/>
        <v/>
      </c>
      <c r="G177" s="24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25"/>
      <c r="AO177" s="25"/>
    </row>
    <row r="178" spans="2:41" x14ac:dyDescent="0.2">
      <c r="B178" s="22" t="str">
        <f>'Wzorzec kategorii'!B140</f>
        <v>.</v>
      </c>
      <c r="C178" s="19">
        <v>0</v>
      </c>
      <c r="D178" s="20">
        <f>SUM(Tabela2649401[#This Row])</f>
        <v>0</v>
      </c>
      <c r="E178" s="20">
        <f t="shared" si="19"/>
        <v>0</v>
      </c>
      <c r="F178" s="53" t="str">
        <f t="shared" si="20"/>
        <v/>
      </c>
      <c r="G178" s="54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25"/>
      <c r="AO178" s="25"/>
    </row>
    <row r="179" spans="2:41" x14ac:dyDescent="0.2">
      <c r="B179" s="22" t="str">
        <f>'Wzorzec kategorii'!B141</f>
        <v>.</v>
      </c>
      <c r="C179" s="19">
        <v>0</v>
      </c>
      <c r="D179" s="20">
        <f>SUM(Tabela2649401[#This Row])</f>
        <v>0</v>
      </c>
      <c r="E179" s="20">
        <f t="shared" si="19"/>
        <v>0</v>
      </c>
      <c r="F179" s="53" t="str">
        <f t="shared" si="20"/>
        <v/>
      </c>
      <c r="G179" s="54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25"/>
      <c r="AO179" s="25"/>
    </row>
    <row r="180" spans="2:41" x14ac:dyDescent="0.2">
      <c r="B180" s="5" t="s">
        <v>30</v>
      </c>
      <c r="AN180" s="25"/>
      <c r="AO180" s="25"/>
    </row>
    <row r="181" spans="2:41" x14ac:dyDescent="0.2">
      <c r="B181" s="2" t="str">
        <f>'Wzorzec kategorii'!B143</f>
        <v>Inne wydatki</v>
      </c>
      <c r="C181" s="3">
        <f>SUM(Tabela1438380[[#All],[Kolumna2]])</f>
        <v>0</v>
      </c>
      <c r="D181" s="16">
        <f>SUM(Tabela1438380[[#All],[Kolumna3]])</f>
        <v>0</v>
      </c>
      <c r="E181" s="3">
        <f>C181-D181</f>
        <v>0</v>
      </c>
      <c r="F181" s="17" t="str">
        <f>IFERROR(D181/C181,"")</f>
        <v/>
      </c>
      <c r="G181" s="3"/>
      <c r="I181" s="11" t="s">
        <v>44</v>
      </c>
      <c r="J181" s="11" t="s">
        <v>45</v>
      </c>
      <c r="K181" s="11" t="s">
        <v>46</v>
      </c>
      <c r="L181" s="11" t="s">
        <v>47</v>
      </c>
      <c r="M181" s="11" t="s">
        <v>48</v>
      </c>
      <c r="N181" s="11" t="s">
        <v>49</v>
      </c>
      <c r="O181" s="11" t="s">
        <v>50</v>
      </c>
      <c r="P181" s="11" t="s">
        <v>51</v>
      </c>
      <c r="Q181" s="11" t="s">
        <v>52</v>
      </c>
      <c r="R181" s="11" t="s">
        <v>53</v>
      </c>
      <c r="S181" s="11" t="s">
        <v>54</v>
      </c>
      <c r="T181" s="11" t="s">
        <v>55</v>
      </c>
      <c r="U181" s="11" t="s">
        <v>56</v>
      </c>
      <c r="V181" s="11" t="s">
        <v>57</v>
      </c>
      <c r="W181" s="11" t="s">
        <v>58</v>
      </c>
      <c r="X181" s="11" t="s">
        <v>59</v>
      </c>
      <c r="Y181" s="11" t="s">
        <v>60</v>
      </c>
      <c r="Z181" s="11" t="s">
        <v>61</v>
      </c>
      <c r="AA181" s="11" t="s">
        <v>62</v>
      </c>
      <c r="AB181" s="11" t="s">
        <v>63</v>
      </c>
      <c r="AC181" s="11" t="s">
        <v>64</v>
      </c>
      <c r="AD181" s="11" t="s">
        <v>65</v>
      </c>
      <c r="AE181" s="11" t="s">
        <v>66</v>
      </c>
      <c r="AF181" s="11" t="s">
        <v>67</v>
      </c>
      <c r="AG181" s="11" t="s">
        <v>68</v>
      </c>
      <c r="AH181" s="11" t="s">
        <v>69</v>
      </c>
      <c r="AI181" s="11" t="s">
        <v>70</v>
      </c>
      <c r="AJ181" s="11" t="s">
        <v>71</v>
      </c>
      <c r="AK181" s="11" t="s">
        <v>72</v>
      </c>
      <c r="AL181" s="11" t="s">
        <v>73</v>
      </c>
      <c r="AM181" s="11" t="s">
        <v>74</v>
      </c>
      <c r="AN181" s="25"/>
      <c r="AO181" s="25"/>
    </row>
    <row r="182" spans="2:41" x14ac:dyDescent="0.2">
      <c r="B182" s="22" t="str">
        <f>'Wzorzec kategorii'!B144</f>
        <v>Dobroczynność</v>
      </c>
      <c r="C182" s="19">
        <v>0</v>
      </c>
      <c r="D182" s="20">
        <f>SUM(Tabela2750402[#This Row])</f>
        <v>0</v>
      </c>
      <c r="E182" s="20">
        <f t="shared" ref="E182:E191" si="21">C182-D182</f>
        <v>0</v>
      </c>
      <c r="F182" s="21" t="str">
        <f t="shared" ref="F182:F191" si="22">IFERROR(D182/C182,"")</f>
        <v/>
      </c>
      <c r="G182" s="24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25"/>
      <c r="AO182" s="25"/>
    </row>
    <row r="183" spans="2:41" x14ac:dyDescent="0.2">
      <c r="B183" s="22" t="str">
        <f>'Wzorzec kategorii'!B145</f>
        <v>Prezenty</v>
      </c>
      <c r="C183" s="19">
        <v>0</v>
      </c>
      <c r="D183" s="20">
        <f>SUM(Tabela2750402[#This Row])</f>
        <v>0</v>
      </c>
      <c r="E183" s="20">
        <f t="shared" si="21"/>
        <v>0</v>
      </c>
      <c r="F183" s="21" t="str">
        <f t="shared" si="22"/>
        <v/>
      </c>
      <c r="G183" s="24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25"/>
      <c r="AO183" s="25"/>
    </row>
    <row r="184" spans="2:41" x14ac:dyDescent="0.2">
      <c r="B184" s="22" t="str">
        <f>'Wzorzec kategorii'!B146</f>
        <v>Sprzęt RTV</v>
      </c>
      <c r="C184" s="19">
        <v>0</v>
      </c>
      <c r="D184" s="20">
        <f>SUM(Tabela2750402[#This Row])</f>
        <v>0</v>
      </c>
      <c r="E184" s="20">
        <f t="shared" si="21"/>
        <v>0</v>
      </c>
      <c r="F184" s="21" t="str">
        <f t="shared" si="22"/>
        <v/>
      </c>
      <c r="G184" s="24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25"/>
      <c r="AO184" s="25"/>
    </row>
    <row r="185" spans="2:41" x14ac:dyDescent="0.2">
      <c r="B185" s="22" t="str">
        <f>'Wzorzec kategorii'!B147</f>
        <v>Oprogramowanie</v>
      </c>
      <c r="C185" s="19">
        <v>0</v>
      </c>
      <c r="D185" s="20">
        <f>SUM(Tabela2750402[#This Row])</f>
        <v>0</v>
      </c>
      <c r="E185" s="20">
        <f t="shared" si="21"/>
        <v>0</v>
      </c>
      <c r="F185" s="21" t="str">
        <f t="shared" si="22"/>
        <v/>
      </c>
      <c r="G185" s="24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25"/>
      <c r="AO185" s="25"/>
    </row>
    <row r="186" spans="2:41" x14ac:dyDescent="0.2">
      <c r="B186" s="22" t="str">
        <f>'Wzorzec kategorii'!B148</f>
        <v>Edukacja / Szkolenia</v>
      </c>
      <c r="C186" s="19">
        <v>0</v>
      </c>
      <c r="D186" s="20">
        <f>SUM(Tabela2750402[#This Row])</f>
        <v>0</v>
      </c>
      <c r="E186" s="20">
        <f t="shared" si="21"/>
        <v>0</v>
      </c>
      <c r="F186" s="21" t="str">
        <f t="shared" si="22"/>
        <v/>
      </c>
      <c r="G186" s="24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25"/>
      <c r="AO186" s="25"/>
    </row>
    <row r="187" spans="2:41" x14ac:dyDescent="0.2">
      <c r="B187" s="22" t="str">
        <f>'Wzorzec kategorii'!B149</f>
        <v>Usługi inne</v>
      </c>
      <c r="C187" s="19">
        <v>0</v>
      </c>
      <c r="D187" s="20">
        <f>SUM(Tabela2750402[#This Row])</f>
        <v>0</v>
      </c>
      <c r="E187" s="20">
        <f t="shared" si="21"/>
        <v>0</v>
      </c>
      <c r="F187" s="21" t="str">
        <f t="shared" si="22"/>
        <v/>
      </c>
      <c r="G187" s="24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25"/>
      <c r="AO187" s="25"/>
    </row>
    <row r="188" spans="2:41" x14ac:dyDescent="0.2">
      <c r="B188" s="22" t="str">
        <f>'Wzorzec kategorii'!B150</f>
        <v>Podatki</v>
      </c>
      <c r="C188" s="19">
        <v>0</v>
      </c>
      <c r="D188" s="20">
        <f>SUM(Tabela2750402[#This Row])</f>
        <v>0</v>
      </c>
      <c r="E188" s="20">
        <f t="shared" si="21"/>
        <v>0</v>
      </c>
      <c r="F188" s="21" t="str">
        <f t="shared" si="22"/>
        <v/>
      </c>
      <c r="G188" s="24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25"/>
      <c r="AO188" s="25"/>
    </row>
    <row r="189" spans="2:41" x14ac:dyDescent="0.2">
      <c r="B189" s="22" t="str">
        <f>'Wzorzec kategorii'!B151</f>
        <v>Inne</v>
      </c>
      <c r="C189" s="19">
        <v>0</v>
      </c>
      <c r="D189" s="20">
        <f>SUM(Tabela2750402[#This Row])</f>
        <v>0</v>
      </c>
      <c r="E189" s="20">
        <f t="shared" si="21"/>
        <v>0</v>
      </c>
      <c r="F189" s="21" t="str">
        <f t="shared" si="22"/>
        <v/>
      </c>
      <c r="G189" s="24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25"/>
      <c r="AO189" s="25"/>
    </row>
    <row r="190" spans="2:41" x14ac:dyDescent="0.2">
      <c r="B190" s="22" t="str">
        <f>'Wzorzec kategorii'!B152</f>
        <v>.</v>
      </c>
      <c r="C190" s="19">
        <v>0</v>
      </c>
      <c r="D190" s="20">
        <f>SUM(Tabela2750402[#This Row])</f>
        <v>0</v>
      </c>
      <c r="E190" s="20">
        <f t="shared" si="21"/>
        <v>0</v>
      </c>
      <c r="F190" s="53" t="str">
        <f t="shared" si="22"/>
        <v/>
      </c>
      <c r="G190" s="54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25"/>
      <c r="AO190" s="25"/>
    </row>
    <row r="191" spans="2:41" x14ac:dyDescent="0.2">
      <c r="B191" s="22" t="str">
        <f>'Wzorzec kategorii'!B153</f>
        <v>.</v>
      </c>
      <c r="C191" s="19">
        <v>0</v>
      </c>
      <c r="D191" s="20">
        <f>SUM(Tabela2750402[#This Row])</f>
        <v>0</v>
      </c>
      <c r="E191" s="20">
        <f t="shared" si="21"/>
        <v>0</v>
      </c>
      <c r="F191" s="53" t="str">
        <f t="shared" si="22"/>
        <v/>
      </c>
      <c r="G191" s="54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25"/>
      <c r="AO191" s="25"/>
    </row>
    <row r="192" spans="2:41" x14ac:dyDescent="0.2">
      <c r="B192" s="5" t="s">
        <v>30</v>
      </c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</row>
    <row r="193" spans="2:41" x14ac:dyDescent="0.2">
      <c r="B193" s="2" t="str">
        <f>'Wzorzec kategorii'!B155</f>
        <v>Spłata długów</v>
      </c>
      <c r="C193" s="3">
        <f>SUM(Tabela1539391[[#All],[Kolumna2]])</f>
        <v>0</v>
      </c>
      <c r="D193" s="16">
        <f>SUM(Tabela1539391[[#All],[Kolumna3]])</f>
        <v>0</v>
      </c>
      <c r="E193" s="3">
        <f>C193-D193</f>
        <v>0</v>
      </c>
      <c r="F193" s="17" t="str">
        <f>IFERROR(D193/C193,"")</f>
        <v/>
      </c>
      <c r="G193" s="3"/>
      <c r="I193" s="11" t="s">
        <v>44</v>
      </c>
      <c r="J193" s="11" t="s">
        <v>45</v>
      </c>
      <c r="K193" s="11" t="s">
        <v>46</v>
      </c>
      <c r="L193" s="11" t="s">
        <v>47</v>
      </c>
      <c r="M193" s="11" t="s">
        <v>48</v>
      </c>
      <c r="N193" s="11" t="s">
        <v>49</v>
      </c>
      <c r="O193" s="11" t="s">
        <v>50</v>
      </c>
      <c r="P193" s="11" t="s">
        <v>51</v>
      </c>
      <c r="Q193" s="11" t="s">
        <v>52</v>
      </c>
      <c r="R193" s="11" t="s">
        <v>53</v>
      </c>
      <c r="S193" s="11" t="s">
        <v>54</v>
      </c>
      <c r="T193" s="11" t="s">
        <v>55</v>
      </c>
      <c r="U193" s="11" t="s">
        <v>56</v>
      </c>
      <c r="V193" s="11" t="s">
        <v>57</v>
      </c>
      <c r="W193" s="11" t="s">
        <v>58</v>
      </c>
      <c r="X193" s="11" t="s">
        <v>59</v>
      </c>
      <c r="Y193" s="11" t="s">
        <v>60</v>
      </c>
      <c r="Z193" s="11" t="s">
        <v>61</v>
      </c>
      <c r="AA193" s="11" t="s">
        <v>62</v>
      </c>
      <c r="AB193" s="11" t="s">
        <v>63</v>
      </c>
      <c r="AC193" s="11" t="s">
        <v>64</v>
      </c>
      <c r="AD193" s="11" t="s">
        <v>65</v>
      </c>
      <c r="AE193" s="11" t="s">
        <v>66</v>
      </c>
      <c r="AF193" s="11" t="s">
        <v>67</v>
      </c>
      <c r="AG193" s="11" t="s">
        <v>68</v>
      </c>
      <c r="AH193" s="11" t="s">
        <v>69</v>
      </c>
      <c r="AI193" s="11" t="s">
        <v>70</v>
      </c>
      <c r="AJ193" s="11" t="s">
        <v>71</v>
      </c>
      <c r="AK193" s="11" t="s">
        <v>72</v>
      </c>
      <c r="AL193" s="11" t="s">
        <v>73</v>
      </c>
      <c r="AM193" s="11" t="s">
        <v>74</v>
      </c>
      <c r="AN193" s="25"/>
      <c r="AO193" s="25"/>
    </row>
    <row r="194" spans="2:41" x14ac:dyDescent="0.2">
      <c r="B194" s="22" t="str">
        <f>'Wzorzec kategorii'!B156</f>
        <v>Kredyt hipoteczny</v>
      </c>
      <c r="C194" s="19">
        <v>0</v>
      </c>
      <c r="D194" s="20">
        <f>SUM(Tabela2851403[#This Row])</f>
        <v>0</v>
      </c>
      <c r="E194" s="20">
        <f t="shared" ref="E194:E203" si="23">C194-D194</f>
        <v>0</v>
      </c>
      <c r="F194" s="21" t="str">
        <f t="shared" ref="F194:F203" si="24">IFERROR(D194/C194,"")</f>
        <v/>
      </c>
      <c r="G194" s="24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25"/>
      <c r="AO194" s="25"/>
    </row>
    <row r="195" spans="2:41" x14ac:dyDescent="0.2">
      <c r="B195" s="22" t="str">
        <f>'Wzorzec kategorii'!B157</f>
        <v>Kredyt konsumpcyjny</v>
      </c>
      <c r="C195" s="19">
        <v>0</v>
      </c>
      <c r="D195" s="20">
        <f>SUM(Tabela2851403[#This Row])</f>
        <v>0</v>
      </c>
      <c r="E195" s="20">
        <f t="shared" si="23"/>
        <v>0</v>
      </c>
      <c r="F195" s="21" t="str">
        <f t="shared" si="24"/>
        <v/>
      </c>
      <c r="G195" s="24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25"/>
      <c r="AO195" s="25"/>
    </row>
    <row r="196" spans="2:41" x14ac:dyDescent="0.2">
      <c r="B196" s="22" t="str">
        <f>'Wzorzec kategorii'!B158</f>
        <v>Pożyczka osobista</v>
      </c>
      <c r="C196" s="19">
        <v>0</v>
      </c>
      <c r="D196" s="20">
        <f>SUM(Tabela2851403[#This Row])</f>
        <v>0</v>
      </c>
      <c r="E196" s="20">
        <f t="shared" si="23"/>
        <v>0</v>
      </c>
      <c r="F196" s="21" t="str">
        <f t="shared" si="24"/>
        <v/>
      </c>
      <c r="G196" s="24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25"/>
      <c r="AO196" s="25"/>
    </row>
    <row r="197" spans="2:41" x14ac:dyDescent="0.2">
      <c r="B197" s="22" t="str">
        <f>'Wzorzec kategorii'!B159</f>
        <v>Inne</v>
      </c>
      <c r="C197" s="19">
        <v>0</v>
      </c>
      <c r="D197" s="20">
        <f>SUM(Tabela2851403[#This Row])</f>
        <v>0</v>
      </c>
      <c r="E197" s="20">
        <f t="shared" si="23"/>
        <v>0</v>
      </c>
      <c r="F197" s="21" t="str">
        <f t="shared" si="24"/>
        <v/>
      </c>
      <c r="G197" s="24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25"/>
      <c r="AO197" s="25"/>
    </row>
    <row r="198" spans="2:41" x14ac:dyDescent="0.2">
      <c r="B198" s="22" t="str">
        <f>'Wzorzec kategorii'!B160</f>
        <v>.</v>
      </c>
      <c r="C198" s="19">
        <v>0</v>
      </c>
      <c r="D198" s="20">
        <f>SUM(Tabela2851403[#This Row])</f>
        <v>0</v>
      </c>
      <c r="E198" s="20">
        <f t="shared" si="23"/>
        <v>0</v>
      </c>
      <c r="F198" s="21" t="str">
        <f t="shared" si="24"/>
        <v/>
      </c>
      <c r="G198" s="24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25"/>
      <c r="AO198" s="25"/>
    </row>
    <row r="199" spans="2:41" x14ac:dyDescent="0.2">
      <c r="B199" s="22" t="str">
        <f>'Wzorzec kategorii'!B161</f>
        <v>.</v>
      </c>
      <c r="C199" s="19">
        <v>0</v>
      </c>
      <c r="D199" s="20">
        <f>SUM(Tabela2851403[#This Row])</f>
        <v>0</v>
      </c>
      <c r="E199" s="20">
        <f t="shared" si="23"/>
        <v>0</v>
      </c>
      <c r="F199" s="21" t="str">
        <f t="shared" si="24"/>
        <v/>
      </c>
      <c r="G199" s="24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25"/>
      <c r="AO199" s="25"/>
    </row>
    <row r="200" spans="2:41" x14ac:dyDescent="0.2">
      <c r="B200" s="22" t="str">
        <f>'Wzorzec kategorii'!B162</f>
        <v>.</v>
      </c>
      <c r="C200" s="19">
        <v>0</v>
      </c>
      <c r="D200" s="20">
        <f>SUM(Tabela2851403[#This Row])</f>
        <v>0</v>
      </c>
      <c r="E200" s="20">
        <f t="shared" si="23"/>
        <v>0</v>
      </c>
      <c r="F200" s="53" t="str">
        <f t="shared" si="24"/>
        <v/>
      </c>
      <c r="G200" s="54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25"/>
      <c r="AO200" s="25"/>
    </row>
    <row r="201" spans="2:41" x14ac:dyDescent="0.2">
      <c r="B201" s="22" t="str">
        <f>'Wzorzec kategorii'!B163</f>
        <v>.</v>
      </c>
      <c r="C201" s="19">
        <v>0</v>
      </c>
      <c r="D201" s="20">
        <f>SUM(Tabela2851403[#This Row])</f>
        <v>0</v>
      </c>
      <c r="E201" s="20">
        <f t="shared" si="23"/>
        <v>0</v>
      </c>
      <c r="F201" s="53" t="str">
        <f t="shared" si="24"/>
        <v/>
      </c>
      <c r="G201" s="54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25"/>
      <c r="AO201" s="25"/>
    </row>
    <row r="202" spans="2:41" x14ac:dyDescent="0.2">
      <c r="B202" s="22" t="str">
        <f>'Wzorzec kategorii'!B164</f>
        <v>.</v>
      </c>
      <c r="C202" s="19">
        <v>0</v>
      </c>
      <c r="D202" s="20">
        <f>SUM(Tabela2851403[#This Row])</f>
        <v>0</v>
      </c>
      <c r="E202" s="20">
        <f t="shared" si="23"/>
        <v>0</v>
      </c>
      <c r="F202" s="53" t="str">
        <f t="shared" si="24"/>
        <v/>
      </c>
      <c r="G202" s="54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25"/>
      <c r="AO202" s="25"/>
    </row>
    <row r="203" spans="2:41" x14ac:dyDescent="0.2">
      <c r="B203" s="22" t="str">
        <f>'Wzorzec kategorii'!B165</f>
        <v>.</v>
      </c>
      <c r="C203" s="19">
        <v>0</v>
      </c>
      <c r="D203" s="20">
        <f>SUM(Tabela2851403[#This Row])</f>
        <v>0</v>
      </c>
      <c r="E203" s="20">
        <f t="shared" si="23"/>
        <v>0</v>
      </c>
      <c r="F203" s="53" t="str">
        <f t="shared" si="24"/>
        <v/>
      </c>
      <c r="G203" s="54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25"/>
      <c r="AO203" s="25"/>
    </row>
    <row r="204" spans="2:41" x14ac:dyDescent="0.2">
      <c r="B204" s="5" t="s">
        <v>30</v>
      </c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</row>
    <row r="205" spans="2:41" x14ac:dyDescent="0.2">
      <c r="B205" s="2" t="str">
        <f>'Wzorzec kategorii'!B167</f>
        <v>Budowanie oszczędności</v>
      </c>
      <c r="C205" s="3">
        <f>SUM(Tabela1640392[[#All],[Kolumna2]])</f>
        <v>0</v>
      </c>
      <c r="D205" s="16">
        <f>SUM(Tabela1640392[[#All],[Kolumna3]])</f>
        <v>0</v>
      </c>
      <c r="E205" s="3">
        <f>C205-D205</f>
        <v>0</v>
      </c>
      <c r="F205" s="17" t="str">
        <f>IFERROR(D205/C205,"")</f>
        <v/>
      </c>
      <c r="G205" s="3"/>
      <c r="I205" s="11" t="s">
        <v>44</v>
      </c>
      <c r="J205" s="11" t="s">
        <v>45</v>
      </c>
      <c r="K205" s="11" t="s">
        <v>46</v>
      </c>
      <c r="L205" s="11" t="s">
        <v>47</v>
      </c>
      <c r="M205" s="11" t="s">
        <v>48</v>
      </c>
      <c r="N205" s="11" t="s">
        <v>49</v>
      </c>
      <c r="O205" s="11" t="s">
        <v>50</v>
      </c>
      <c r="P205" s="11" t="s">
        <v>51</v>
      </c>
      <c r="Q205" s="11" t="s">
        <v>52</v>
      </c>
      <c r="R205" s="11" t="s">
        <v>53</v>
      </c>
      <c r="S205" s="11" t="s">
        <v>54</v>
      </c>
      <c r="T205" s="11" t="s">
        <v>55</v>
      </c>
      <c r="U205" s="11" t="s">
        <v>56</v>
      </c>
      <c r="V205" s="11" t="s">
        <v>57</v>
      </c>
      <c r="W205" s="11" t="s">
        <v>58</v>
      </c>
      <c r="X205" s="11" t="s">
        <v>59</v>
      </c>
      <c r="Y205" s="11" t="s">
        <v>60</v>
      </c>
      <c r="Z205" s="11" t="s">
        <v>61</v>
      </c>
      <c r="AA205" s="11" t="s">
        <v>62</v>
      </c>
      <c r="AB205" s="11" t="s">
        <v>63</v>
      </c>
      <c r="AC205" s="11" t="s">
        <v>64</v>
      </c>
      <c r="AD205" s="11" t="s">
        <v>65</v>
      </c>
      <c r="AE205" s="11" t="s">
        <v>66</v>
      </c>
      <c r="AF205" s="11" t="s">
        <v>67</v>
      </c>
      <c r="AG205" s="11" t="s">
        <v>68</v>
      </c>
      <c r="AH205" s="11" t="s">
        <v>69</v>
      </c>
      <c r="AI205" s="11" t="s">
        <v>70</v>
      </c>
      <c r="AJ205" s="11" t="s">
        <v>71</v>
      </c>
      <c r="AK205" s="11" t="s">
        <v>72</v>
      </c>
      <c r="AL205" s="11" t="s">
        <v>73</v>
      </c>
      <c r="AM205" s="11" t="s">
        <v>74</v>
      </c>
      <c r="AN205" s="25"/>
      <c r="AO205" s="25"/>
    </row>
    <row r="206" spans="2:41" x14ac:dyDescent="0.2">
      <c r="B206" s="22" t="str">
        <f>'Wzorzec kategorii'!B168</f>
        <v>Fundusz awaryjny</v>
      </c>
      <c r="C206" s="19">
        <v>0</v>
      </c>
      <c r="D206" s="20">
        <f>SUM(Tabela192345397[#This Row])</f>
        <v>0</v>
      </c>
      <c r="E206" s="20">
        <f t="shared" ref="E206:E215" si="25">C206-D206</f>
        <v>0</v>
      </c>
      <c r="F206" s="21" t="str">
        <f t="shared" ref="F206:F215" si="26">IFERROR(D206/C206,"")</f>
        <v/>
      </c>
      <c r="G206" s="24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25"/>
      <c r="AO206" s="25"/>
    </row>
    <row r="207" spans="2:41" ht="30" x14ac:dyDescent="0.2">
      <c r="B207" s="22" t="str">
        <f>'Wzorzec kategorii'!B169</f>
        <v>Fundusz wydatków nieregularnych</v>
      </c>
      <c r="C207" s="19">
        <v>0</v>
      </c>
      <c r="D207" s="20">
        <f>SUM(Tabela192345397[#This Row])</f>
        <v>0</v>
      </c>
      <c r="E207" s="20">
        <f t="shared" si="25"/>
        <v>0</v>
      </c>
      <c r="F207" s="21" t="str">
        <f t="shared" si="26"/>
        <v/>
      </c>
      <c r="G207" s="24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25"/>
      <c r="AO207" s="25"/>
    </row>
    <row r="208" spans="2:41" x14ac:dyDescent="0.2">
      <c r="B208" s="22" t="str">
        <f>'Wzorzec kategorii'!B170</f>
        <v>Poduszka finansowa</v>
      </c>
      <c r="C208" s="19">
        <v>0</v>
      </c>
      <c r="D208" s="20">
        <f>SUM(Tabela192345397[#This Row])</f>
        <v>0</v>
      </c>
      <c r="E208" s="20">
        <f t="shared" si="25"/>
        <v>0</v>
      </c>
      <c r="F208" s="21" t="str">
        <f t="shared" si="26"/>
        <v/>
      </c>
      <c r="G208" s="24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25"/>
      <c r="AO208" s="25"/>
    </row>
    <row r="209" spans="2:41" x14ac:dyDescent="0.2">
      <c r="B209" s="22" t="str">
        <f>'Wzorzec kategorii'!B171</f>
        <v>Konto emerytalne IKE/IKZE</v>
      </c>
      <c r="C209" s="19">
        <v>0</v>
      </c>
      <c r="D209" s="20">
        <f>SUM(Tabela192345397[#This Row])</f>
        <v>0</v>
      </c>
      <c r="E209" s="20">
        <f t="shared" si="25"/>
        <v>0</v>
      </c>
      <c r="F209" s="21" t="str">
        <f t="shared" si="26"/>
        <v/>
      </c>
      <c r="G209" s="24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25"/>
      <c r="AO209" s="25"/>
    </row>
    <row r="210" spans="2:41" x14ac:dyDescent="0.2">
      <c r="B210" s="22" t="str">
        <f>'Wzorzec kategorii'!B172</f>
        <v>Nadpłata długów</v>
      </c>
      <c r="C210" s="19">
        <v>0</v>
      </c>
      <c r="D210" s="20">
        <f>SUM(Tabela192345397[#This Row])</f>
        <v>0</v>
      </c>
      <c r="E210" s="20">
        <f t="shared" si="25"/>
        <v>0</v>
      </c>
      <c r="F210" s="21" t="str">
        <f t="shared" si="26"/>
        <v/>
      </c>
      <c r="G210" s="24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25"/>
      <c r="AO210" s="25"/>
    </row>
    <row r="211" spans="2:41" x14ac:dyDescent="0.2">
      <c r="B211" s="22" t="str">
        <f>'Wzorzec kategorii'!B173</f>
        <v>Fundusz: wakacje</v>
      </c>
      <c r="C211" s="19">
        <v>0</v>
      </c>
      <c r="D211" s="20">
        <f>SUM(Tabela192345397[#This Row])</f>
        <v>0</v>
      </c>
      <c r="E211" s="20">
        <f t="shared" si="25"/>
        <v>0</v>
      </c>
      <c r="F211" s="21" t="str">
        <f t="shared" si="26"/>
        <v/>
      </c>
      <c r="G211" s="24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25"/>
      <c r="AO211" s="25"/>
    </row>
    <row r="212" spans="2:41" x14ac:dyDescent="0.2">
      <c r="B212" s="22" t="str">
        <f>'Wzorzec kategorii'!B174</f>
        <v>Fundusz: prezenty świąteczne</v>
      </c>
      <c r="C212" s="19">
        <v>0</v>
      </c>
      <c r="D212" s="20">
        <f>SUM(Tabela192345397[#This Row])</f>
        <v>0</v>
      </c>
      <c r="E212" s="20">
        <f t="shared" si="25"/>
        <v>0</v>
      </c>
      <c r="F212" s="21" t="str">
        <f t="shared" si="26"/>
        <v/>
      </c>
      <c r="G212" s="24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25"/>
      <c r="AO212" s="25"/>
    </row>
    <row r="213" spans="2:41" x14ac:dyDescent="0.2">
      <c r="B213" s="22" t="str">
        <f>'Wzorzec kategorii'!B175</f>
        <v>Inne</v>
      </c>
      <c r="C213" s="19">
        <v>0</v>
      </c>
      <c r="D213" s="20">
        <f>SUM(Tabela192345397[#This Row])</f>
        <v>0</v>
      </c>
      <c r="E213" s="20">
        <f t="shared" si="25"/>
        <v>0</v>
      </c>
      <c r="F213" s="21" t="str">
        <f t="shared" si="26"/>
        <v/>
      </c>
      <c r="G213" s="24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25"/>
      <c r="AO213" s="25"/>
    </row>
    <row r="214" spans="2:41" x14ac:dyDescent="0.2">
      <c r="B214" s="22" t="str">
        <f>'Wzorzec kategorii'!B176</f>
        <v>.</v>
      </c>
      <c r="C214" s="19">
        <v>0</v>
      </c>
      <c r="D214" s="20">
        <f>SUM(Tabela192345397[#This Row])</f>
        <v>0</v>
      </c>
      <c r="E214" s="20">
        <f t="shared" si="25"/>
        <v>0</v>
      </c>
      <c r="F214" s="53" t="str">
        <f t="shared" si="26"/>
        <v/>
      </c>
      <c r="G214" s="54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25"/>
      <c r="AO214" s="25"/>
    </row>
    <row r="215" spans="2:41" x14ac:dyDescent="0.2">
      <c r="B215" s="22" t="str">
        <f>'Wzorzec kategorii'!B177</f>
        <v>.</v>
      </c>
      <c r="C215" s="19">
        <v>0</v>
      </c>
      <c r="D215" s="20">
        <f>SUM(Tabela192345397[#This Row])</f>
        <v>0</v>
      </c>
      <c r="E215" s="20">
        <f t="shared" si="25"/>
        <v>0</v>
      </c>
      <c r="F215" s="53" t="str">
        <f t="shared" si="26"/>
        <v/>
      </c>
      <c r="G215" s="54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25"/>
      <c r="AO215" s="25"/>
    </row>
    <row r="216" spans="2:41" x14ac:dyDescent="0.2"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</row>
    <row r="217" spans="2:41" x14ac:dyDescent="0.2">
      <c r="B217" s="2" t="str">
        <f>'Wzorzec kategorii'!B179</f>
        <v>INNE 1</v>
      </c>
      <c r="C217" s="3">
        <f>SUM(Tabela164058404[[#All],[Kolumna2]])</f>
        <v>0</v>
      </c>
      <c r="D217" s="16">
        <f>SUM(Tabela164058404[[#All],[Kolumna3]])</f>
        <v>0</v>
      </c>
      <c r="E217" s="3">
        <f>C217-D217</f>
        <v>0</v>
      </c>
      <c r="F217" s="17" t="str">
        <f>IFERROR(D217/C217,"")</f>
        <v/>
      </c>
      <c r="G217" s="3"/>
      <c r="I217" s="11" t="s">
        <v>44</v>
      </c>
      <c r="J217" s="11" t="s">
        <v>45</v>
      </c>
      <c r="K217" s="11" t="s">
        <v>46</v>
      </c>
      <c r="L217" s="11" t="s">
        <v>47</v>
      </c>
      <c r="M217" s="11" t="s">
        <v>48</v>
      </c>
      <c r="N217" s="11" t="s">
        <v>49</v>
      </c>
      <c r="O217" s="11" t="s">
        <v>50</v>
      </c>
      <c r="P217" s="11" t="s">
        <v>51</v>
      </c>
      <c r="Q217" s="11" t="s">
        <v>52</v>
      </c>
      <c r="R217" s="11" t="s">
        <v>53</v>
      </c>
      <c r="S217" s="11" t="s">
        <v>54</v>
      </c>
      <c r="T217" s="11" t="s">
        <v>55</v>
      </c>
      <c r="U217" s="11" t="s">
        <v>56</v>
      </c>
      <c r="V217" s="11" t="s">
        <v>57</v>
      </c>
      <c r="W217" s="11" t="s">
        <v>58</v>
      </c>
      <c r="X217" s="11" t="s">
        <v>59</v>
      </c>
      <c r="Y217" s="11" t="s">
        <v>60</v>
      </c>
      <c r="Z217" s="11" t="s">
        <v>61</v>
      </c>
      <c r="AA217" s="11" t="s">
        <v>62</v>
      </c>
      <c r="AB217" s="11" t="s">
        <v>63</v>
      </c>
      <c r="AC217" s="11" t="s">
        <v>64</v>
      </c>
      <c r="AD217" s="11" t="s">
        <v>65</v>
      </c>
      <c r="AE217" s="11" t="s">
        <v>66</v>
      </c>
      <c r="AF217" s="11" t="s">
        <v>67</v>
      </c>
      <c r="AG217" s="11" t="s">
        <v>68</v>
      </c>
      <c r="AH217" s="11" t="s">
        <v>69</v>
      </c>
      <c r="AI217" s="11" t="s">
        <v>70</v>
      </c>
      <c r="AJ217" s="11" t="s">
        <v>71</v>
      </c>
      <c r="AK217" s="11" t="s">
        <v>72</v>
      </c>
      <c r="AL217" s="11" t="s">
        <v>73</v>
      </c>
      <c r="AM217" s="11" t="s">
        <v>74</v>
      </c>
    </row>
    <row r="218" spans="2:41" x14ac:dyDescent="0.2">
      <c r="B218" s="22" t="str">
        <f>'Wzorzec kategorii'!B180</f>
        <v>.</v>
      </c>
      <c r="C218" s="19">
        <v>0</v>
      </c>
      <c r="D218" s="20">
        <f>SUM(Tabela19234559405[#This Row])</f>
        <v>0</v>
      </c>
      <c r="E218" s="20">
        <f t="shared" ref="E218:E227" si="27">C218-D218</f>
        <v>0</v>
      </c>
      <c r="F218" s="21" t="str">
        <f t="shared" ref="F218:F227" si="28">IFERROR(D218/C218,"")</f>
        <v/>
      </c>
      <c r="G218" s="24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2:41" x14ac:dyDescent="0.2">
      <c r="B219" s="22" t="str">
        <f>'Wzorzec kategorii'!B181</f>
        <v>.</v>
      </c>
      <c r="C219" s="19">
        <v>0</v>
      </c>
      <c r="D219" s="20">
        <f>SUM(Tabela19234559405[#This Row])</f>
        <v>0</v>
      </c>
      <c r="E219" s="20">
        <f t="shared" si="27"/>
        <v>0</v>
      </c>
      <c r="F219" s="21" t="str">
        <f t="shared" si="28"/>
        <v/>
      </c>
      <c r="G219" s="24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 spans="2:41" x14ac:dyDescent="0.2">
      <c r="B220" s="22" t="str">
        <f>'Wzorzec kategorii'!B182</f>
        <v>.</v>
      </c>
      <c r="C220" s="19">
        <v>0</v>
      </c>
      <c r="D220" s="20">
        <f>SUM(Tabela19234559405[#This Row])</f>
        <v>0</v>
      </c>
      <c r="E220" s="20">
        <f t="shared" si="27"/>
        <v>0</v>
      </c>
      <c r="F220" s="21" t="str">
        <f t="shared" si="28"/>
        <v/>
      </c>
      <c r="G220" s="24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 spans="2:41" x14ac:dyDescent="0.2">
      <c r="B221" s="22" t="str">
        <f>'Wzorzec kategorii'!B183</f>
        <v>.</v>
      </c>
      <c r="C221" s="19">
        <v>0</v>
      </c>
      <c r="D221" s="20">
        <f>SUM(Tabela19234559405[#This Row])</f>
        <v>0</v>
      </c>
      <c r="E221" s="20">
        <f t="shared" si="27"/>
        <v>0</v>
      </c>
      <c r="F221" s="21" t="str">
        <f t="shared" si="28"/>
        <v/>
      </c>
      <c r="G221" s="24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 spans="2:41" x14ac:dyDescent="0.2">
      <c r="B222" s="22" t="str">
        <f>'Wzorzec kategorii'!B184</f>
        <v>.</v>
      </c>
      <c r="C222" s="19">
        <v>0</v>
      </c>
      <c r="D222" s="20">
        <f>SUM(Tabela19234559405[#This Row])</f>
        <v>0</v>
      </c>
      <c r="E222" s="20">
        <f t="shared" si="27"/>
        <v>0</v>
      </c>
      <c r="F222" s="21" t="str">
        <f t="shared" si="28"/>
        <v/>
      </c>
      <c r="G222" s="24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</row>
    <row r="223" spans="2:41" x14ac:dyDescent="0.2">
      <c r="B223" s="22" t="str">
        <f>'Wzorzec kategorii'!B185</f>
        <v>.</v>
      </c>
      <c r="C223" s="19">
        <v>0</v>
      </c>
      <c r="D223" s="20">
        <f>SUM(Tabela19234559405[#This Row])</f>
        <v>0</v>
      </c>
      <c r="E223" s="20">
        <f t="shared" si="27"/>
        <v>0</v>
      </c>
      <c r="F223" s="21" t="str">
        <f t="shared" si="28"/>
        <v/>
      </c>
      <c r="G223" s="24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</row>
    <row r="224" spans="2:41" x14ac:dyDescent="0.2">
      <c r="B224" s="22" t="str">
        <f>'Wzorzec kategorii'!B186</f>
        <v>.</v>
      </c>
      <c r="C224" s="19">
        <v>0</v>
      </c>
      <c r="D224" s="20">
        <f>SUM(Tabela19234559405[#This Row])</f>
        <v>0</v>
      </c>
      <c r="E224" s="20">
        <f t="shared" si="27"/>
        <v>0</v>
      </c>
      <c r="F224" s="21" t="str">
        <f t="shared" si="28"/>
        <v/>
      </c>
      <c r="G224" s="24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2:39" x14ac:dyDescent="0.2">
      <c r="B225" s="22" t="str">
        <f>'Wzorzec kategorii'!B187</f>
        <v>.</v>
      </c>
      <c r="C225" s="19">
        <v>0</v>
      </c>
      <c r="D225" s="20">
        <f>SUM(Tabela19234559405[#This Row])</f>
        <v>0</v>
      </c>
      <c r="E225" s="20">
        <f t="shared" si="27"/>
        <v>0</v>
      </c>
      <c r="F225" s="21" t="str">
        <f t="shared" si="28"/>
        <v/>
      </c>
      <c r="G225" s="24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 spans="2:39" x14ac:dyDescent="0.2">
      <c r="B226" s="22" t="str">
        <f>'Wzorzec kategorii'!B188</f>
        <v>.</v>
      </c>
      <c r="C226" s="19">
        <v>0</v>
      </c>
      <c r="D226" s="20">
        <f>SUM(Tabela19234559405[#This Row])</f>
        <v>0</v>
      </c>
      <c r="E226" s="20">
        <f t="shared" si="27"/>
        <v>0</v>
      </c>
      <c r="F226" s="53" t="str">
        <f t="shared" si="28"/>
        <v/>
      </c>
      <c r="G226" s="54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</row>
    <row r="227" spans="2:39" x14ac:dyDescent="0.2">
      <c r="B227" s="22" t="str">
        <f>'Wzorzec kategorii'!B189</f>
        <v>.</v>
      </c>
      <c r="C227" s="19">
        <v>0</v>
      </c>
      <c r="D227" s="20">
        <f>SUM(Tabela19234559405[#This Row])</f>
        <v>0</v>
      </c>
      <c r="E227" s="20">
        <f t="shared" si="27"/>
        <v>0</v>
      </c>
      <c r="F227" s="53" t="str">
        <f t="shared" si="28"/>
        <v/>
      </c>
      <c r="G227" s="54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</row>
    <row r="228" spans="2:39" x14ac:dyDescent="0.2"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</row>
    <row r="229" spans="2:39" x14ac:dyDescent="0.2">
      <c r="B229" s="2" t="str">
        <f>'Wzorzec kategorii'!B191</f>
        <v>INNE 2</v>
      </c>
      <c r="C229" s="3">
        <f>SUM(Tabela16405860406[[#All],[Kolumna2]])</f>
        <v>0</v>
      </c>
      <c r="D229" s="16">
        <f>SUM(Tabela16405860406[[#All],[Kolumna3]])</f>
        <v>0</v>
      </c>
      <c r="E229" s="3">
        <f>C229-D229</f>
        <v>0</v>
      </c>
      <c r="F229" s="17" t="str">
        <f>IFERROR(D229/C229,"")</f>
        <v/>
      </c>
      <c r="G229" s="3"/>
      <c r="I229" s="11" t="s">
        <v>44</v>
      </c>
      <c r="J229" s="11" t="s">
        <v>45</v>
      </c>
      <c r="K229" s="11" t="s">
        <v>46</v>
      </c>
      <c r="L229" s="11" t="s">
        <v>47</v>
      </c>
      <c r="M229" s="11" t="s">
        <v>48</v>
      </c>
      <c r="N229" s="11" t="s">
        <v>49</v>
      </c>
      <c r="O229" s="11" t="s">
        <v>50</v>
      </c>
      <c r="P229" s="11" t="s">
        <v>51</v>
      </c>
      <c r="Q229" s="11" t="s">
        <v>52</v>
      </c>
      <c r="R229" s="11" t="s">
        <v>53</v>
      </c>
      <c r="S229" s="11" t="s">
        <v>54</v>
      </c>
      <c r="T229" s="11" t="s">
        <v>55</v>
      </c>
      <c r="U229" s="11" t="s">
        <v>56</v>
      </c>
      <c r="V229" s="11" t="s">
        <v>57</v>
      </c>
      <c r="W229" s="11" t="s">
        <v>58</v>
      </c>
      <c r="X229" s="11" t="s">
        <v>59</v>
      </c>
      <c r="Y229" s="11" t="s">
        <v>60</v>
      </c>
      <c r="Z229" s="11" t="s">
        <v>61</v>
      </c>
      <c r="AA229" s="11" t="s">
        <v>62</v>
      </c>
      <c r="AB229" s="11" t="s">
        <v>63</v>
      </c>
      <c r="AC229" s="11" t="s">
        <v>64</v>
      </c>
      <c r="AD229" s="11" t="s">
        <v>65</v>
      </c>
      <c r="AE229" s="11" t="s">
        <v>66</v>
      </c>
      <c r="AF229" s="11" t="s">
        <v>67</v>
      </c>
      <c r="AG229" s="11" t="s">
        <v>68</v>
      </c>
      <c r="AH229" s="11" t="s">
        <v>69</v>
      </c>
      <c r="AI229" s="11" t="s">
        <v>70</v>
      </c>
      <c r="AJ229" s="11" t="s">
        <v>71</v>
      </c>
      <c r="AK229" s="11" t="s">
        <v>72</v>
      </c>
      <c r="AL229" s="11" t="s">
        <v>73</v>
      </c>
      <c r="AM229" s="11" t="s">
        <v>74</v>
      </c>
    </row>
    <row r="230" spans="2:39" x14ac:dyDescent="0.2">
      <c r="B230" s="22" t="str">
        <f>'Wzorzec kategorii'!B192</f>
        <v>.</v>
      </c>
      <c r="C230" s="19">
        <v>0</v>
      </c>
      <c r="D230" s="20">
        <f>SUM(Tabela1923455962408[#This Row])</f>
        <v>0</v>
      </c>
      <c r="E230" s="20">
        <f t="shared" ref="E230:E239" si="29">C230-D230</f>
        <v>0</v>
      </c>
      <c r="F230" s="21" t="str">
        <f t="shared" ref="F230:F239" si="30">IFERROR(D230/C230,"")</f>
        <v/>
      </c>
      <c r="G230" s="24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2:39" x14ac:dyDescent="0.2">
      <c r="B231" s="22" t="str">
        <f>'Wzorzec kategorii'!B193</f>
        <v>.</v>
      </c>
      <c r="C231" s="19">
        <v>0</v>
      </c>
      <c r="D231" s="20">
        <f>SUM(Tabela1923455962408[#This Row])</f>
        <v>0</v>
      </c>
      <c r="E231" s="20">
        <f t="shared" si="29"/>
        <v>0</v>
      </c>
      <c r="F231" s="21" t="str">
        <f t="shared" si="30"/>
        <v/>
      </c>
      <c r="G231" s="24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 spans="2:39" x14ac:dyDescent="0.2">
      <c r="B232" s="22" t="str">
        <f>'Wzorzec kategorii'!B194</f>
        <v>.</v>
      </c>
      <c r="C232" s="19">
        <v>0</v>
      </c>
      <c r="D232" s="20">
        <f>SUM(Tabela1923455962408[#This Row])</f>
        <v>0</v>
      </c>
      <c r="E232" s="20">
        <f t="shared" si="29"/>
        <v>0</v>
      </c>
      <c r="F232" s="21" t="str">
        <f t="shared" si="30"/>
        <v/>
      </c>
      <c r="G232" s="24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</row>
    <row r="233" spans="2:39" x14ac:dyDescent="0.2">
      <c r="B233" s="22" t="str">
        <f>'Wzorzec kategorii'!B195</f>
        <v>.</v>
      </c>
      <c r="C233" s="19">
        <v>0</v>
      </c>
      <c r="D233" s="20">
        <f>SUM(Tabela1923455962408[#This Row])</f>
        <v>0</v>
      </c>
      <c r="E233" s="20">
        <f t="shared" si="29"/>
        <v>0</v>
      </c>
      <c r="F233" s="21" t="str">
        <f t="shared" si="30"/>
        <v/>
      </c>
      <c r="G233" s="24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2:39" x14ac:dyDescent="0.2">
      <c r="B234" s="22" t="str">
        <f>'Wzorzec kategorii'!B196</f>
        <v>.</v>
      </c>
      <c r="C234" s="19">
        <v>0</v>
      </c>
      <c r="D234" s="20">
        <f>SUM(Tabela1923455962408[#This Row])</f>
        <v>0</v>
      </c>
      <c r="E234" s="20">
        <f t="shared" si="29"/>
        <v>0</v>
      </c>
      <c r="F234" s="21" t="str">
        <f t="shared" si="30"/>
        <v/>
      </c>
      <c r="G234" s="24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 spans="2:39" x14ac:dyDescent="0.2">
      <c r="B235" s="22" t="str">
        <f>'Wzorzec kategorii'!B197</f>
        <v>.</v>
      </c>
      <c r="C235" s="19">
        <v>0</v>
      </c>
      <c r="D235" s="20">
        <f>SUM(Tabela1923455962408[#This Row])</f>
        <v>0</v>
      </c>
      <c r="E235" s="20">
        <f t="shared" si="29"/>
        <v>0</v>
      </c>
      <c r="F235" s="21" t="str">
        <f t="shared" si="30"/>
        <v/>
      </c>
      <c r="G235" s="24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 spans="2:39" x14ac:dyDescent="0.2">
      <c r="B236" s="22" t="str">
        <f>'Wzorzec kategorii'!B198</f>
        <v>.</v>
      </c>
      <c r="C236" s="19">
        <v>0</v>
      </c>
      <c r="D236" s="20">
        <f>SUM(Tabela1923455962408[#This Row])</f>
        <v>0</v>
      </c>
      <c r="E236" s="20">
        <f t="shared" si="29"/>
        <v>0</v>
      </c>
      <c r="F236" s="21" t="str">
        <f t="shared" si="30"/>
        <v/>
      </c>
      <c r="G236" s="24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 spans="2:39" x14ac:dyDescent="0.2">
      <c r="B237" s="22" t="str">
        <f>'Wzorzec kategorii'!B199</f>
        <v>.</v>
      </c>
      <c r="C237" s="19">
        <v>0</v>
      </c>
      <c r="D237" s="20">
        <f>SUM(Tabela1923455962408[#This Row])</f>
        <v>0</v>
      </c>
      <c r="E237" s="20">
        <f t="shared" si="29"/>
        <v>0</v>
      </c>
      <c r="F237" s="21" t="str">
        <f t="shared" si="30"/>
        <v/>
      </c>
      <c r="G237" s="24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 spans="2:39" x14ac:dyDescent="0.2">
      <c r="B238" s="22" t="str">
        <f>'Wzorzec kategorii'!B200</f>
        <v>.</v>
      </c>
      <c r="C238" s="19">
        <v>0</v>
      </c>
      <c r="D238" s="20">
        <f>SUM(Tabela1923455962408[#This Row])</f>
        <v>0</v>
      </c>
      <c r="E238" s="20">
        <f t="shared" si="29"/>
        <v>0</v>
      </c>
      <c r="F238" s="53" t="str">
        <f t="shared" si="30"/>
        <v/>
      </c>
      <c r="G238" s="54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</row>
    <row r="239" spans="2:39" x14ac:dyDescent="0.2">
      <c r="B239" s="22" t="str">
        <f>'Wzorzec kategorii'!B201</f>
        <v>.</v>
      </c>
      <c r="C239" s="19">
        <v>0</v>
      </c>
      <c r="D239" s="20">
        <f>SUM(Tabela1923455962408[#This Row])</f>
        <v>0</v>
      </c>
      <c r="E239" s="20">
        <f t="shared" si="29"/>
        <v>0</v>
      </c>
      <c r="F239" s="53" t="str">
        <f t="shared" si="30"/>
        <v/>
      </c>
      <c r="G239" s="54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</row>
    <row r="240" spans="2:39" x14ac:dyDescent="0.2"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</row>
    <row r="241" spans="2:39" x14ac:dyDescent="0.2">
      <c r="B241" s="2" t="str">
        <f>'Wzorzec kategorii'!B203</f>
        <v>INNE 3</v>
      </c>
      <c r="C241" s="3">
        <f>SUM(Tabela1640586061407[[#All],[Kolumna2]])</f>
        <v>0</v>
      </c>
      <c r="D241" s="16">
        <f>SUM(Tabela1640586061407[[#All],[Kolumna3]])</f>
        <v>0</v>
      </c>
      <c r="E241" s="3">
        <f>C241-D241</f>
        <v>0</v>
      </c>
      <c r="F241" s="17" t="str">
        <f>IFERROR(D241/C241,"")</f>
        <v/>
      </c>
      <c r="G241" s="3"/>
      <c r="I241" s="11" t="s">
        <v>44</v>
      </c>
      <c r="J241" s="11" t="s">
        <v>45</v>
      </c>
      <c r="K241" s="11" t="s">
        <v>46</v>
      </c>
      <c r="L241" s="11" t="s">
        <v>47</v>
      </c>
      <c r="M241" s="11" t="s">
        <v>48</v>
      </c>
      <c r="N241" s="11" t="s">
        <v>49</v>
      </c>
      <c r="O241" s="11" t="s">
        <v>50</v>
      </c>
      <c r="P241" s="11" t="s">
        <v>51</v>
      </c>
      <c r="Q241" s="11" t="s">
        <v>52</v>
      </c>
      <c r="R241" s="11" t="s">
        <v>53</v>
      </c>
      <c r="S241" s="11" t="s">
        <v>54</v>
      </c>
      <c r="T241" s="11" t="s">
        <v>55</v>
      </c>
      <c r="U241" s="11" t="s">
        <v>56</v>
      </c>
      <c r="V241" s="11" t="s">
        <v>57</v>
      </c>
      <c r="W241" s="11" t="s">
        <v>58</v>
      </c>
      <c r="X241" s="11" t="s">
        <v>59</v>
      </c>
      <c r="Y241" s="11" t="s">
        <v>60</v>
      </c>
      <c r="Z241" s="11" t="s">
        <v>61</v>
      </c>
      <c r="AA241" s="11" t="s">
        <v>62</v>
      </c>
      <c r="AB241" s="11" t="s">
        <v>63</v>
      </c>
      <c r="AC241" s="11" t="s">
        <v>64</v>
      </c>
      <c r="AD241" s="11" t="s">
        <v>65</v>
      </c>
      <c r="AE241" s="11" t="s">
        <v>66</v>
      </c>
      <c r="AF241" s="11" t="s">
        <v>67</v>
      </c>
      <c r="AG241" s="11" t="s">
        <v>68</v>
      </c>
      <c r="AH241" s="11" t="s">
        <v>69</v>
      </c>
      <c r="AI241" s="11" t="s">
        <v>70</v>
      </c>
      <c r="AJ241" s="11" t="s">
        <v>71</v>
      </c>
      <c r="AK241" s="11" t="s">
        <v>72</v>
      </c>
      <c r="AL241" s="11" t="s">
        <v>73</v>
      </c>
      <c r="AM241" s="11" t="s">
        <v>74</v>
      </c>
    </row>
    <row r="242" spans="2:39" x14ac:dyDescent="0.2">
      <c r="B242" s="22" t="str">
        <f>'Wzorzec kategorii'!B204</f>
        <v>.</v>
      </c>
      <c r="C242" s="19">
        <v>0</v>
      </c>
      <c r="D242" s="20">
        <f>SUM(Tabela1923455963409[#This Row])</f>
        <v>0</v>
      </c>
      <c r="E242" s="20">
        <f t="shared" ref="E242:E251" si="31">C242-D242</f>
        <v>0</v>
      </c>
      <c r="F242" s="21" t="str">
        <f t="shared" ref="F242:F251" si="32">IFERROR(D242/C242,"")</f>
        <v/>
      </c>
      <c r="G242" s="24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2:39" x14ac:dyDescent="0.2">
      <c r="B243" s="22" t="str">
        <f>'Wzorzec kategorii'!B205</f>
        <v>.</v>
      </c>
      <c r="C243" s="19">
        <v>0</v>
      </c>
      <c r="D243" s="20">
        <f>SUM(Tabela1923455963409[#This Row])</f>
        <v>0</v>
      </c>
      <c r="E243" s="20">
        <f t="shared" si="31"/>
        <v>0</v>
      </c>
      <c r="F243" s="21" t="str">
        <f t="shared" si="32"/>
        <v/>
      </c>
      <c r="G243" s="24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 spans="2:39" x14ac:dyDescent="0.2">
      <c r="B244" s="22" t="str">
        <f>'Wzorzec kategorii'!B206</f>
        <v>.</v>
      </c>
      <c r="C244" s="19">
        <v>0</v>
      </c>
      <c r="D244" s="20">
        <f>SUM(Tabela1923455963409[#This Row])</f>
        <v>0</v>
      </c>
      <c r="E244" s="20">
        <f t="shared" si="31"/>
        <v>0</v>
      </c>
      <c r="F244" s="21" t="str">
        <f t="shared" si="32"/>
        <v/>
      </c>
      <c r="G244" s="24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 spans="2:39" x14ac:dyDescent="0.2">
      <c r="B245" s="22" t="str">
        <f>'Wzorzec kategorii'!B207</f>
        <v>.</v>
      </c>
      <c r="C245" s="19">
        <v>0</v>
      </c>
      <c r="D245" s="20">
        <f>SUM(Tabela1923455963409[#This Row])</f>
        <v>0</v>
      </c>
      <c r="E245" s="20">
        <f t="shared" si="31"/>
        <v>0</v>
      </c>
      <c r="F245" s="21" t="str">
        <f t="shared" si="32"/>
        <v/>
      </c>
      <c r="G245" s="24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2:39" x14ac:dyDescent="0.2">
      <c r="B246" s="22" t="str">
        <f>'Wzorzec kategorii'!B208</f>
        <v>.</v>
      </c>
      <c r="C246" s="19">
        <v>0</v>
      </c>
      <c r="D246" s="20">
        <f>SUM(Tabela1923455963409[#This Row])</f>
        <v>0</v>
      </c>
      <c r="E246" s="20">
        <f t="shared" si="31"/>
        <v>0</v>
      </c>
      <c r="F246" s="21" t="str">
        <f t="shared" si="32"/>
        <v/>
      </c>
      <c r="G246" s="24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 spans="2:39" x14ac:dyDescent="0.2">
      <c r="B247" s="22" t="str">
        <f>'Wzorzec kategorii'!B209</f>
        <v>.</v>
      </c>
      <c r="C247" s="19">
        <v>0</v>
      </c>
      <c r="D247" s="20">
        <f>SUM(Tabela1923455963409[#This Row])</f>
        <v>0</v>
      </c>
      <c r="E247" s="20">
        <f t="shared" si="31"/>
        <v>0</v>
      </c>
      <c r="F247" s="21" t="str">
        <f t="shared" si="32"/>
        <v/>
      </c>
      <c r="G247" s="24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</row>
    <row r="248" spans="2:39" x14ac:dyDescent="0.2">
      <c r="B248" s="22" t="str">
        <f>'Wzorzec kategorii'!B210</f>
        <v>.</v>
      </c>
      <c r="C248" s="19">
        <v>0</v>
      </c>
      <c r="D248" s="20">
        <f>SUM(Tabela1923455963409[#This Row])</f>
        <v>0</v>
      </c>
      <c r="E248" s="20">
        <f t="shared" si="31"/>
        <v>0</v>
      </c>
      <c r="F248" s="21" t="str">
        <f t="shared" si="32"/>
        <v/>
      </c>
      <c r="G248" s="24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 spans="2:39" x14ac:dyDescent="0.2">
      <c r="B249" s="22" t="str">
        <f>'Wzorzec kategorii'!B211</f>
        <v>.</v>
      </c>
      <c r="C249" s="19">
        <v>0</v>
      </c>
      <c r="D249" s="20">
        <f>SUM(Tabela1923455963409[#This Row])</f>
        <v>0</v>
      </c>
      <c r="E249" s="20">
        <f t="shared" si="31"/>
        <v>0</v>
      </c>
      <c r="F249" s="21" t="str">
        <f t="shared" si="32"/>
        <v/>
      </c>
      <c r="G249" s="24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 spans="2:39" x14ac:dyDescent="0.2">
      <c r="B250" s="22" t="str">
        <f>'Wzorzec kategorii'!B212</f>
        <v>.</v>
      </c>
      <c r="C250" s="19">
        <v>0</v>
      </c>
      <c r="D250" s="20">
        <f>SUM(Tabela1923455963409[#This Row])</f>
        <v>0</v>
      </c>
      <c r="E250" s="20">
        <f t="shared" si="31"/>
        <v>0</v>
      </c>
      <c r="F250" s="53" t="str">
        <f t="shared" si="32"/>
        <v/>
      </c>
      <c r="G250" s="54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</row>
    <row r="251" spans="2:39" x14ac:dyDescent="0.2">
      <c r="B251" s="22" t="str">
        <f>'Wzorzec kategorii'!B213</f>
        <v>.</v>
      </c>
      <c r="C251" s="19">
        <v>0</v>
      </c>
      <c r="D251" s="20">
        <f>SUM(Tabela1923455963409[#This Row])</f>
        <v>0</v>
      </c>
      <c r="E251" s="20">
        <f t="shared" si="31"/>
        <v>0</v>
      </c>
      <c r="F251" s="53" t="str">
        <f t="shared" si="32"/>
        <v/>
      </c>
      <c r="G251" s="54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</row>
    <row r="252" spans="2:39" x14ac:dyDescent="0.2"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</row>
    <row r="253" spans="2:39" ht="30" x14ac:dyDescent="0.2">
      <c r="C253" s="9" t="s">
        <v>131</v>
      </c>
      <c r="D253" s="10" t="s">
        <v>135</v>
      </c>
      <c r="E253" s="8" t="s">
        <v>129</v>
      </c>
      <c r="I253" s="9" t="s">
        <v>44</v>
      </c>
      <c r="J253" s="9" t="s">
        <v>45</v>
      </c>
      <c r="K253" s="9" t="s">
        <v>46</v>
      </c>
      <c r="L253" s="9" t="s">
        <v>47</v>
      </c>
      <c r="M253" s="9" t="s">
        <v>48</v>
      </c>
      <c r="N253" s="9" t="s">
        <v>49</v>
      </c>
      <c r="O253" s="9" t="s">
        <v>50</v>
      </c>
      <c r="P253" s="9" t="s">
        <v>51</v>
      </c>
      <c r="Q253" s="9" t="s">
        <v>52</v>
      </c>
      <c r="R253" s="9" t="s">
        <v>53</v>
      </c>
      <c r="S253" s="9" t="s">
        <v>54</v>
      </c>
      <c r="T253" s="9" t="s">
        <v>55</v>
      </c>
      <c r="U253" s="9" t="s">
        <v>56</v>
      </c>
      <c r="V253" s="9" t="s">
        <v>57</v>
      </c>
      <c r="W253" s="9" t="s">
        <v>58</v>
      </c>
      <c r="X253" s="9" t="s">
        <v>59</v>
      </c>
      <c r="Y253" s="9" t="s">
        <v>60</v>
      </c>
      <c r="Z253" s="9" t="s">
        <v>61</v>
      </c>
      <c r="AA253" s="9" t="s">
        <v>62</v>
      </c>
      <c r="AB253" s="9" t="s">
        <v>63</v>
      </c>
      <c r="AC253" s="9" t="s">
        <v>64</v>
      </c>
      <c r="AD253" s="9" t="s">
        <v>65</v>
      </c>
      <c r="AE253" s="9" t="s">
        <v>66</v>
      </c>
      <c r="AF253" s="9" t="s">
        <v>67</v>
      </c>
      <c r="AG253" s="9" t="s">
        <v>68</v>
      </c>
      <c r="AH253" s="9" t="s">
        <v>69</v>
      </c>
      <c r="AI253" s="9" t="s">
        <v>70</v>
      </c>
      <c r="AJ253" s="9" t="s">
        <v>71</v>
      </c>
      <c r="AK253" s="9" t="s">
        <v>72</v>
      </c>
      <c r="AL253" s="9" t="s">
        <v>73</v>
      </c>
      <c r="AM253" s="9" t="s">
        <v>74</v>
      </c>
    </row>
    <row r="254" spans="2:39" ht="22" customHeight="1" x14ac:dyDescent="0.2">
      <c r="B254" s="39" t="s">
        <v>31</v>
      </c>
      <c r="C254" s="40">
        <f>C71</f>
        <v>0</v>
      </c>
      <c r="D254" s="40">
        <f>D71</f>
        <v>0</v>
      </c>
      <c r="E254" s="40">
        <f>C254-D254</f>
        <v>0</v>
      </c>
      <c r="G254" s="39" t="s">
        <v>126</v>
      </c>
      <c r="I254" s="43">
        <f>SUM(I73:I251)</f>
        <v>0</v>
      </c>
      <c r="J254" s="43">
        <f>SUM(J73:J251)</f>
        <v>0</v>
      </c>
      <c r="K254" s="43">
        <f>SUM(K73:K251)</f>
        <v>0</v>
      </c>
      <c r="L254" s="43">
        <f t="shared" ref="L254:AM254" si="33">SUM(L73:L251)</f>
        <v>0</v>
      </c>
      <c r="M254" s="43">
        <f t="shared" si="33"/>
        <v>0</v>
      </c>
      <c r="N254" s="43">
        <f t="shared" si="33"/>
        <v>0</v>
      </c>
      <c r="O254" s="43">
        <f t="shared" si="33"/>
        <v>0</v>
      </c>
      <c r="P254" s="43">
        <f t="shared" si="33"/>
        <v>0</v>
      </c>
      <c r="Q254" s="43">
        <f t="shared" si="33"/>
        <v>0</v>
      </c>
      <c r="R254" s="43">
        <f t="shared" si="33"/>
        <v>0</v>
      </c>
      <c r="S254" s="43">
        <f t="shared" si="33"/>
        <v>0</v>
      </c>
      <c r="T254" s="43">
        <f t="shared" si="33"/>
        <v>0</v>
      </c>
      <c r="U254" s="43">
        <f t="shared" si="33"/>
        <v>0</v>
      </c>
      <c r="V254" s="43">
        <f t="shared" si="33"/>
        <v>0</v>
      </c>
      <c r="W254" s="43">
        <f t="shared" si="33"/>
        <v>0</v>
      </c>
      <c r="X254" s="43">
        <f t="shared" si="33"/>
        <v>0</v>
      </c>
      <c r="Y254" s="43">
        <f t="shared" si="33"/>
        <v>0</v>
      </c>
      <c r="Z254" s="43">
        <f t="shared" si="33"/>
        <v>0</v>
      </c>
      <c r="AA254" s="43">
        <f t="shared" si="33"/>
        <v>0</v>
      </c>
      <c r="AB254" s="43">
        <f t="shared" si="33"/>
        <v>0</v>
      </c>
      <c r="AC254" s="43">
        <f t="shared" si="33"/>
        <v>0</v>
      </c>
      <c r="AD254" s="43">
        <f t="shared" si="33"/>
        <v>0</v>
      </c>
      <c r="AE254" s="43">
        <f t="shared" si="33"/>
        <v>0</v>
      </c>
      <c r="AF254" s="43">
        <f t="shared" si="33"/>
        <v>0</v>
      </c>
      <c r="AG254" s="43">
        <f t="shared" si="33"/>
        <v>0</v>
      </c>
      <c r="AH254" s="43">
        <f t="shared" si="33"/>
        <v>0</v>
      </c>
      <c r="AI254" s="43">
        <f t="shared" si="33"/>
        <v>0</v>
      </c>
      <c r="AJ254" s="43">
        <f t="shared" si="33"/>
        <v>0</v>
      </c>
      <c r="AK254" s="43">
        <f t="shared" si="33"/>
        <v>0</v>
      </c>
      <c r="AL254" s="43">
        <f t="shared" si="33"/>
        <v>0</v>
      </c>
      <c r="AM254" s="43">
        <f t="shared" si="33"/>
        <v>0</v>
      </c>
    </row>
    <row r="255" spans="2:39" x14ac:dyDescent="0.2"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</row>
  </sheetData>
  <mergeCells count="27">
    <mergeCell ref="B12:C12"/>
    <mergeCell ref="B2:C2"/>
    <mergeCell ref="D2:E2"/>
    <mergeCell ref="B4:E4"/>
    <mergeCell ref="B9:C9"/>
    <mergeCell ref="B10:C10"/>
    <mergeCell ref="C32:D32"/>
    <mergeCell ref="B16:C16"/>
    <mergeCell ref="B17:C17"/>
    <mergeCell ref="B19:C19"/>
    <mergeCell ref="B21:E21"/>
    <mergeCell ref="B23:D23"/>
    <mergeCell ref="B25:E25"/>
    <mergeCell ref="C27:D27"/>
    <mergeCell ref="C28:D28"/>
    <mergeCell ref="C29:D29"/>
    <mergeCell ref="C30:D30"/>
    <mergeCell ref="C31:D31"/>
    <mergeCell ref="C39:D39"/>
    <mergeCell ref="C40:D40"/>
    <mergeCell ref="C41:D41"/>
    <mergeCell ref="C33:D33"/>
    <mergeCell ref="C34:D34"/>
    <mergeCell ref="C35:D35"/>
    <mergeCell ref="C36:D36"/>
    <mergeCell ref="C37:D37"/>
    <mergeCell ref="C38:D38"/>
  </mergeCells>
  <conditionalFormatting sqref="D73">
    <cfRule type="dataBar" priority="29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{81DE7571-34EF-2949-A8EF-B677F57F3797}</x14:id>
        </ext>
      </extLst>
    </cfRule>
  </conditionalFormatting>
  <conditionalFormatting sqref="D85">
    <cfRule type="dataBar" priority="28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{2506EB70-9BFD-A341-BDC4-B43791111540}</x14:id>
        </ext>
      </extLst>
    </cfRule>
  </conditionalFormatting>
  <conditionalFormatting sqref="B23:D23">
    <cfRule type="dataBar" priority="27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{D0F98B66-FAF8-BE46-B912-5D0C7BA94C0F}</x14:id>
        </ext>
      </extLst>
    </cfRule>
  </conditionalFormatting>
  <conditionalFormatting sqref="C27:D27">
    <cfRule type="dataBar" priority="26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{C5652501-3B70-EC43-9342-4BB8840FD100}</x14:id>
        </ext>
      </extLst>
    </cfRule>
  </conditionalFormatting>
  <conditionalFormatting sqref="D97">
    <cfRule type="dataBar" priority="25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{653130DD-0809-1740-972D-548AD9DD97D0}</x14:id>
        </ext>
      </extLst>
    </cfRule>
  </conditionalFormatting>
  <conditionalFormatting sqref="C28:D28">
    <cfRule type="dataBar" priority="24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{C5A532C8-1244-F946-8651-A351389AF29E}</x14:id>
        </ext>
      </extLst>
    </cfRule>
  </conditionalFormatting>
  <conditionalFormatting sqref="C29:D29">
    <cfRule type="dataBar" priority="23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{62530F8D-819B-0C4D-9AE8-7524113EA836}</x14:id>
        </ext>
      </extLst>
    </cfRule>
  </conditionalFormatting>
  <conditionalFormatting sqref="C30:D30">
    <cfRule type="dataBar" priority="22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{E07D3ADE-E2A2-D04B-95C5-B7E30D465131}</x14:id>
        </ext>
      </extLst>
    </cfRule>
  </conditionalFormatting>
  <conditionalFormatting sqref="C31:D31">
    <cfRule type="dataBar" priority="21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{9AC51BB8-4353-5F42-B66F-D0009EE646C5}</x14:id>
        </ext>
      </extLst>
    </cfRule>
  </conditionalFormatting>
  <conditionalFormatting sqref="C32:D32">
    <cfRule type="dataBar" priority="20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{04140E73-77D9-E147-B9C1-9D270CBF3CD4}</x14:id>
        </ext>
      </extLst>
    </cfRule>
  </conditionalFormatting>
  <conditionalFormatting sqref="C33:D33">
    <cfRule type="dataBar" priority="19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{144C7CBA-6523-384B-9B9A-B590695D4B6E}</x14:id>
        </ext>
      </extLst>
    </cfRule>
  </conditionalFormatting>
  <conditionalFormatting sqref="C34:D34">
    <cfRule type="dataBar" priority="18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{0008864D-16EF-EF49-A552-CC810A5B11B1}</x14:id>
        </ext>
      </extLst>
    </cfRule>
  </conditionalFormatting>
  <conditionalFormatting sqref="C35:D35">
    <cfRule type="dataBar" priority="17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{18FBAA20-9960-A54F-BF0F-F0137E18620D}</x14:id>
        </ext>
      </extLst>
    </cfRule>
  </conditionalFormatting>
  <conditionalFormatting sqref="C36:D36">
    <cfRule type="dataBar" priority="16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{F66353E3-A581-3341-884F-B6CFEAA0A66C}</x14:id>
        </ext>
      </extLst>
    </cfRule>
  </conditionalFormatting>
  <conditionalFormatting sqref="C37:D37">
    <cfRule type="dataBar" priority="15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{E75CB6F4-B8D1-B340-964D-63052610021A}</x14:id>
        </ext>
      </extLst>
    </cfRule>
  </conditionalFormatting>
  <conditionalFormatting sqref="C38:D41">
    <cfRule type="dataBar" priority="14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{41C7FAB4-359A-604C-BC14-185F96E37775}</x14:id>
        </ext>
      </extLst>
    </cfRule>
  </conditionalFormatting>
  <conditionalFormatting sqref="D109">
    <cfRule type="dataBar" priority="13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{BEB8E8C4-6D41-C54D-9187-D707DD23A0D6}</x14:id>
        </ext>
      </extLst>
    </cfRule>
  </conditionalFormatting>
  <conditionalFormatting sqref="D121">
    <cfRule type="dataBar" priority="12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{99F09637-54E3-D84F-9332-61903B8D5BDB}</x14:id>
        </ext>
      </extLst>
    </cfRule>
  </conditionalFormatting>
  <conditionalFormatting sqref="D133">
    <cfRule type="dataBar" priority="11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{7C5CD240-2BF1-2B49-91DD-1D8263D0DEC9}</x14:id>
        </ext>
      </extLst>
    </cfRule>
  </conditionalFormatting>
  <conditionalFormatting sqref="D145">
    <cfRule type="dataBar" priority="10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{5AEEA2FE-6EB4-054B-BEEF-3AA278F76FAC}</x14:id>
        </ext>
      </extLst>
    </cfRule>
  </conditionalFormatting>
  <conditionalFormatting sqref="D157">
    <cfRule type="dataBar" priority="9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{9209CA62-2617-F940-84A5-716F619B70AA}</x14:id>
        </ext>
      </extLst>
    </cfRule>
  </conditionalFormatting>
  <conditionalFormatting sqref="D169">
    <cfRule type="dataBar" priority="8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{147800E7-1177-0E48-A4E3-C6A828B29F67}</x14:id>
        </ext>
      </extLst>
    </cfRule>
  </conditionalFormatting>
  <conditionalFormatting sqref="D181">
    <cfRule type="dataBar" priority="7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{CEE59B9F-7BED-0545-84F6-F5FC8196ADAA}</x14:id>
        </ext>
      </extLst>
    </cfRule>
  </conditionalFormatting>
  <conditionalFormatting sqref="D193">
    <cfRule type="dataBar" priority="6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{8937713C-A270-5248-9DEF-1C3DEC0A30AA}</x14:id>
        </ext>
      </extLst>
    </cfRule>
  </conditionalFormatting>
  <conditionalFormatting sqref="D205">
    <cfRule type="dataBar" priority="5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{D06A224A-B968-B34C-A068-6F9AC5F15261}</x14:id>
        </ext>
      </extLst>
    </cfRule>
  </conditionalFormatting>
  <conditionalFormatting sqref="D51">
    <cfRule type="dataBar" priority="4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{644A825B-C197-0245-9937-D1A10F6C5F3E}</x14:id>
        </ext>
      </extLst>
    </cfRule>
  </conditionalFormatting>
  <conditionalFormatting sqref="D217">
    <cfRule type="dataBar" priority="3">
      <dataBar>
        <cfvo type="num" val="0"/>
        <cfvo type="formula" val="$C$217"/>
        <color rgb="FF92D050"/>
      </dataBar>
      <extLst>
        <ext xmlns:x14="http://schemas.microsoft.com/office/spreadsheetml/2009/9/main" uri="{B025F937-C7B1-47D3-B67F-A62EFF666E3E}">
          <x14:id>{D8F3270F-B425-9544-8713-EF0D988E6136}</x14:id>
        </ext>
      </extLst>
    </cfRule>
  </conditionalFormatting>
  <conditionalFormatting sqref="D229">
    <cfRule type="dataBar" priority="2">
      <dataBar>
        <cfvo type="num" val="0"/>
        <cfvo type="formula" val="$C$229"/>
        <color rgb="FF92D050"/>
      </dataBar>
      <extLst>
        <ext xmlns:x14="http://schemas.microsoft.com/office/spreadsheetml/2009/9/main" uri="{B025F937-C7B1-47D3-B67F-A62EFF666E3E}">
          <x14:id>{98A917B0-7061-2449-B10A-E40859292E2D}</x14:id>
        </ext>
      </extLst>
    </cfRule>
  </conditionalFormatting>
  <conditionalFormatting sqref="D241">
    <cfRule type="dataBar" priority="1">
      <dataBar>
        <cfvo type="num" val="0"/>
        <cfvo type="formula" val="$C$241"/>
        <color rgb="FF92D050"/>
      </dataBar>
      <extLst>
        <ext xmlns:x14="http://schemas.microsoft.com/office/spreadsheetml/2009/9/main" uri="{B025F937-C7B1-47D3-B67F-A62EFF666E3E}">
          <x14:id>{D9BABE78-02CE-8244-B6B0-F01864454A26}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1DE7571-34EF-2949-A8EF-B677F57F3797}">
            <x14:dataBar minLength="0" maxLength="100" gradient="0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2506EB70-9BFD-A341-BDC4-B43791111540}">
            <x14:dataBar minLength="0" maxLength="100" gradient="0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D0F98B66-FAF8-BE46-B912-5D0C7BA94C0F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C5652501-3B70-EC43-9342-4BB8840FD100}">
            <x14:dataBar minLength="0" maxLength="100" gradient="0" direction="leftToRight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653130DD-0809-1740-972D-548AD9DD97D0}">
            <x14:dataBar minLength="0" maxLength="100" gradient="0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C5A532C8-1244-F946-8651-A351389AF29E}">
            <x14:dataBar minLength="0" maxLength="100" gradient="0" direction="leftToRight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62530F8D-819B-0C4D-9AE8-7524113EA836}">
            <x14:dataBar minLength="0" maxLength="100" gradient="0" direction="leftToRight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E07D3ADE-E2A2-D04B-95C5-B7E30D465131}">
            <x14:dataBar minLength="0" maxLength="100" gradient="0" direction="leftToRight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9AC51BB8-4353-5F42-B66F-D0009EE646C5}">
            <x14:dataBar minLength="0" maxLength="100" gradient="0" direction="leftToRight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04140E73-77D9-E147-B9C1-9D270CBF3CD4}">
            <x14:dataBar minLength="0" maxLength="100" gradient="0" direction="leftToRight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144C7CBA-6523-384B-9B9A-B590695D4B6E}">
            <x14:dataBar minLength="0" maxLength="100" gradient="0" direction="leftToRight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0008864D-16EF-EF49-A552-CC810A5B11B1}">
            <x14:dataBar minLength="0" maxLength="100" gradient="0" direction="leftToRight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18FBAA20-9960-A54F-BF0F-F0137E18620D}">
            <x14:dataBar minLength="0" maxLength="100" gradient="0" direction="leftToRight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F66353E3-A581-3341-884F-B6CFEAA0A66C}">
            <x14:dataBar minLength="0" maxLength="100" gradient="0" direction="leftToRight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E75CB6F4-B8D1-B340-964D-63052610021A}">
            <x14:dataBar minLength="0" maxLength="100" gradient="0" direction="leftToRight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41C7FAB4-359A-604C-BC14-185F96E37775}">
            <x14:dataBar minLength="0" maxLength="100" gradient="0" direction="leftToRight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C38:D41</xm:sqref>
        </x14:conditionalFormatting>
        <x14:conditionalFormatting xmlns:xm="http://schemas.microsoft.com/office/excel/2006/main">
          <x14:cfRule type="dataBar" id="{BEB8E8C4-6D41-C54D-9187-D707DD23A0D6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D109</xm:sqref>
        </x14:conditionalFormatting>
        <x14:conditionalFormatting xmlns:xm="http://schemas.microsoft.com/office/excel/2006/main">
          <x14:cfRule type="dataBar" id="{99F09637-54E3-D84F-9332-61903B8D5BDB}">
            <x14:dataBar minLength="0" maxLength="100" gradient="0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D121</xm:sqref>
        </x14:conditionalFormatting>
        <x14:conditionalFormatting xmlns:xm="http://schemas.microsoft.com/office/excel/2006/main">
          <x14:cfRule type="dataBar" id="{7C5CD240-2BF1-2B49-91DD-1D8263D0DEC9}">
            <x14:dataBar minLength="0" maxLength="100" gradient="0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5AEEA2FE-6EB4-054B-BEEF-3AA278F76FAC}">
            <x14:dataBar minLength="0" maxLength="100" gradient="0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9209CA62-2617-F940-84A5-716F619B70AA}">
            <x14:dataBar minLength="0" maxLength="100" gradient="0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147800E7-1177-0E48-A4E3-C6A828B29F67}">
            <x14:dataBar minLength="0" maxLength="100" gradient="0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CEE59B9F-7BED-0545-84F6-F5FC8196ADAA}">
            <x14:dataBar minLength="0" maxLength="100" gradient="0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8937713C-A270-5248-9DEF-1C3DEC0A30AA}">
            <x14:dataBar minLength="0" maxLength="100" gradient="0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D193</xm:sqref>
        </x14:conditionalFormatting>
        <x14:conditionalFormatting xmlns:xm="http://schemas.microsoft.com/office/excel/2006/main">
          <x14:cfRule type="dataBar" id="{D06A224A-B968-B34C-A068-6F9AC5F15261}">
            <x14:dataBar minLength="0" maxLength="100" gradient="0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D205</xm:sqref>
        </x14:conditionalFormatting>
        <x14:conditionalFormatting xmlns:xm="http://schemas.microsoft.com/office/excel/2006/main">
          <x14:cfRule type="dataBar" id="{644A825B-C197-0245-9937-D1A10F6C5F3E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D8F3270F-B425-9544-8713-EF0D988E6136}">
            <x14:dataBar minLength="0" maxLength="100" gradient="0">
              <x14:cfvo type="num">
                <xm:f>0</xm:f>
              </x14:cfvo>
              <x14:cfvo type="formula">
                <xm:f>$C$217</xm:f>
              </x14:cfvo>
              <x14:negativeFillColor rgb="FFFF0000"/>
              <x14:axisColor rgb="FF000000"/>
            </x14:dataBar>
          </x14:cfRule>
          <xm:sqref>D217</xm:sqref>
        </x14:conditionalFormatting>
        <x14:conditionalFormatting xmlns:xm="http://schemas.microsoft.com/office/excel/2006/main">
          <x14:cfRule type="dataBar" id="{98A917B0-7061-2449-B10A-E40859292E2D}">
            <x14:dataBar minLength="0" maxLength="100" gradient="0">
              <x14:cfvo type="num">
                <xm:f>0</xm:f>
              </x14:cfvo>
              <x14:cfvo type="formula">
                <xm:f>$C$229</xm:f>
              </x14:cfvo>
              <x14:negativeFillColor rgb="FFFF0000"/>
              <x14:axisColor rgb="FF000000"/>
            </x14:dataBar>
          </x14:cfRule>
          <xm:sqref>D229</xm:sqref>
        </x14:conditionalFormatting>
        <x14:conditionalFormatting xmlns:xm="http://schemas.microsoft.com/office/excel/2006/main">
          <x14:cfRule type="dataBar" id="{D9BABE78-02CE-8244-B6B0-F01864454A26}">
            <x14:dataBar minLength="0" maxLength="100" gradient="0">
              <x14:cfvo type="num">
                <xm:f>0</xm:f>
              </x14:cfvo>
              <x14:cfvo type="formula">
                <xm:f>$C$241</xm:f>
              </x14:cfvo>
              <x14:negativeFillColor rgb="FFFF0000"/>
              <x14:axisColor rgb="FF000000"/>
            </x14:dataBar>
          </x14:cfRule>
          <xm:sqref>D241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 enableFormatConditionsCalculation="0"/>
  <dimension ref="B2:AO255"/>
  <sheetViews>
    <sheetView showGridLines="0" workbookViewId="0">
      <pane xSplit="8" topLeftCell="I1" activePane="topRight" state="frozen"/>
      <selection activeCell="A12" sqref="A12"/>
      <selection pane="topRight" activeCell="I2" sqref="I2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  <col min="9" max="39" width="11.33203125" customWidth="1"/>
  </cols>
  <sheetData>
    <row r="2" spans="2:7" ht="24" x14ac:dyDescent="0.3">
      <c r="B2" s="66" t="s">
        <v>130</v>
      </c>
      <c r="C2" s="66"/>
      <c r="D2" s="67" t="s">
        <v>170</v>
      </c>
      <c r="E2" s="68"/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69" t="s">
        <v>144</v>
      </c>
      <c r="C4" s="70"/>
      <c r="D4" s="70"/>
      <c r="E4" s="70"/>
    </row>
    <row r="5" spans="2:7" outlineLevel="1" x14ac:dyDescent="0.2">
      <c r="B5" s="41" t="s">
        <v>147</v>
      </c>
      <c r="C5" s="45" t="s">
        <v>148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132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62" t="s">
        <v>127</v>
      </c>
      <c r="C9" s="62"/>
      <c r="D9" s="34">
        <f>C49</f>
        <v>0</v>
      </c>
      <c r="E9" s="18"/>
    </row>
    <row r="10" spans="2:7" x14ac:dyDescent="0.2">
      <c r="B10" s="62" t="s">
        <v>131</v>
      </c>
      <c r="C10" s="62"/>
      <c r="D10" s="34">
        <f>C71</f>
        <v>0</v>
      </c>
      <c r="E10" s="18"/>
    </row>
    <row r="11" spans="2:7" x14ac:dyDescent="0.2">
      <c r="B11" s="48"/>
      <c r="C11" s="48"/>
      <c r="D11" s="31"/>
      <c r="E11" s="18"/>
    </row>
    <row r="12" spans="2:7" ht="30" customHeight="1" x14ac:dyDescent="0.2">
      <c r="B12" s="63" t="s">
        <v>133</v>
      </c>
      <c r="C12" s="63"/>
      <c r="D12" s="36">
        <f>D9-D10</f>
        <v>0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134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62" t="s">
        <v>128</v>
      </c>
      <c r="C16" s="62"/>
      <c r="D16" s="28">
        <f>D49</f>
        <v>0</v>
      </c>
      <c r="E16" s="18"/>
    </row>
    <row r="17" spans="2:5" x14ac:dyDescent="0.2">
      <c r="B17" s="62" t="s">
        <v>135</v>
      </c>
      <c r="C17" s="62"/>
      <c r="D17" s="28">
        <f>D71</f>
        <v>0</v>
      </c>
      <c r="E17" s="18"/>
    </row>
    <row r="18" spans="2:5" x14ac:dyDescent="0.2">
      <c r="B18" s="48"/>
      <c r="C18" s="48"/>
      <c r="D18" s="28"/>
      <c r="E18" s="18"/>
    </row>
    <row r="19" spans="2:5" ht="30" customHeight="1" x14ac:dyDescent="0.2">
      <c r="B19" s="63" t="s">
        <v>136</v>
      </c>
      <c r="C19" s="63"/>
      <c r="D19" s="36">
        <f>D16-D17</f>
        <v>0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64" t="s">
        <v>137</v>
      </c>
      <c r="C21" s="64"/>
      <c r="D21" s="64"/>
      <c r="E21" s="64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60">
        <f>D17</f>
        <v>0</v>
      </c>
      <c r="C23" s="65"/>
      <c r="D23" s="61"/>
      <c r="E23" s="38" t="str">
        <f>IFERROR(D17/D16,"")</f>
        <v/>
      </c>
    </row>
    <row r="24" spans="2:5" ht="18" x14ac:dyDescent="0.2">
      <c r="B24" s="29"/>
      <c r="D24" s="30"/>
      <c r="E24" s="18"/>
    </row>
    <row r="25" spans="2:5" x14ac:dyDescent="0.2">
      <c r="B25" s="64" t="s">
        <v>138</v>
      </c>
      <c r="C25" s="64"/>
      <c r="D25" s="64"/>
      <c r="E25" s="64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B73</f>
        <v>Jedzenie</v>
      </c>
      <c r="C27" s="60">
        <f>D73</f>
        <v>0</v>
      </c>
      <c r="D27" s="72"/>
      <c r="E27" s="38" t="str">
        <f>IFERROR(D73/C73,"")</f>
        <v/>
      </c>
    </row>
    <row r="28" spans="2:5" ht="18" customHeight="1" x14ac:dyDescent="0.2">
      <c r="B28" s="29" t="str">
        <f>B85</f>
        <v>Mieszkanie / dom</v>
      </c>
      <c r="C28" s="60">
        <f>D85</f>
        <v>0</v>
      </c>
      <c r="D28" s="61"/>
      <c r="E28" s="38" t="str">
        <f>IFERROR(D85/C85,"")</f>
        <v/>
      </c>
    </row>
    <row r="29" spans="2:5" ht="18" customHeight="1" x14ac:dyDescent="0.2">
      <c r="B29" s="29" t="str">
        <f>B97</f>
        <v>Transport</v>
      </c>
      <c r="C29" s="60">
        <f>D97</f>
        <v>0</v>
      </c>
      <c r="D29" s="61"/>
      <c r="E29" s="38" t="str">
        <f>IFERROR(D97/C97,"")</f>
        <v/>
      </c>
    </row>
    <row r="30" spans="2:5" ht="18" customHeight="1" x14ac:dyDescent="0.2">
      <c r="B30" s="29" t="str">
        <f>B109</f>
        <v>Telekomunikacja</v>
      </c>
      <c r="C30" s="60">
        <f>D109</f>
        <v>0</v>
      </c>
      <c r="D30" s="61"/>
      <c r="E30" s="38" t="str">
        <f>IFERROR(D109/C109,"")</f>
        <v/>
      </c>
    </row>
    <row r="31" spans="2:5" ht="18" customHeight="1" x14ac:dyDescent="0.2">
      <c r="B31" s="29" t="str">
        <f>B121</f>
        <v>Opieka zdrowotna</v>
      </c>
      <c r="C31" s="60">
        <f>D121</f>
        <v>0</v>
      </c>
      <c r="D31" s="61"/>
      <c r="E31" s="38" t="str">
        <f>IFERROR(D121/C121,"")</f>
        <v/>
      </c>
    </row>
    <row r="32" spans="2:5" ht="18" customHeight="1" x14ac:dyDescent="0.2">
      <c r="B32" s="29" t="str">
        <f>B133</f>
        <v>Ubranie</v>
      </c>
      <c r="C32" s="60">
        <f>D133</f>
        <v>0</v>
      </c>
      <c r="D32" s="61"/>
      <c r="E32" s="38" t="str">
        <f>IFERROR(D133/C133,"")</f>
        <v/>
      </c>
    </row>
    <row r="33" spans="2:9" ht="18" customHeight="1" x14ac:dyDescent="0.2">
      <c r="B33" s="29" t="str">
        <f>B145</f>
        <v>Higiena</v>
      </c>
      <c r="C33" s="60">
        <f>D145</f>
        <v>0</v>
      </c>
      <c r="D33" s="61"/>
      <c r="E33" s="38" t="str">
        <f>IFERROR(D145/C145,"")</f>
        <v/>
      </c>
    </row>
    <row r="34" spans="2:9" ht="18" customHeight="1" x14ac:dyDescent="0.2">
      <c r="B34" s="29" t="str">
        <f>B157</f>
        <v>Dzieci</v>
      </c>
      <c r="C34" s="60">
        <f>D157</f>
        <v>0</v>
      </c>
      <c r="D34" s="61"/>
      <c r="E34" s="38" t="str">
        <f>IFERROR(D157/C157,"")</f>
        <v/>
      </c>
    </row>
    <row r="35" spans="2:9" ht="18" customHeight="1" x14ac:dyDescent="0.2">
      <c r="B35" s="29" t="str">
        <f>B169</f>
        <v>Rozrywka</v>
      </c>
      <c r="C35" s="60">
        <f>D169</f>
        <v>0</v>
      </c>
      <c r="D35" s="61"/>
      <c r="E35" s="38" t="str">
        <f>IFERROR(D169/C169,"")</f>
        <v/>
      </c>
    </row>
    <row r="36" spans="2:9" ht="18" customHeight="1" x14ac:dyDescent="0.2">
      <c r="B36" s="29" t="str">
        <f>B181</f>
        <v>Inne wydatki</v>
      </c>
      <c r="C36" s="60">
        <f>D181</f>
        <v>0</v>
      </c>
      <c r="D36" s="61"/>
      <c r="E36" s="38" t="str">
        <f>IFERROR(D181/C181,"")</f>
        <v/>
      </c>
    </row>
    <row r="37" spans="2:9" ht="18" customHeight="1" x14ac:dyDescent="0.2">
      <c r="B37" s="29" t="str">
        <f>B193</f>
        <v>Spłata długów</v>
      </c>
      <c r="C37" s="60">
        <f>D193</f>
        <v>0</v>
      </c>
      <c r="D37" s="61"/>
      <c r="E37" s="38" t="str">
        <f>IFERROR(D193/C193,"")</f>
        <v/>
      </c>
    </row>
    <row r="38" spans="2:9" ht="18" customHeight="1" x14ac:dyDescent="0.2">
      <c r="B38" s="29" t="str">
        <f>B205</f>
        <v>Budowanie oszczędności</v>
      </c>
      <c r="C38" s="60">
        <f>D205</f>
        <v>0</v>
      </c>
      <c r="D38" s="61"/>
      <c r="E38" s="38" t="str">
        <f>IFERROR(D205/C205,"")</f>
        <v/>
      </c>
    </row>
    <row r="39" spans="2:9" ht="18" customHeight="1" x14ac:dyDescent="0.2">
      <c r="B39" s="29" t="str">
        <f>B217</f>
        <v>INNE 1</v>
      </c>
      <c r="C39" s="60">
        <f>D217</f>
        <v>0</v>
      </c>
      <c r="D39" s="61"/>
      <c r="E39" s="38" t="str">
        <f>IFERROR(D217/C217,"")</f>
        <v/>
      </c>
    </row>
    <row r="40" spans="2:9" ht="18" customHeight="1" x14ac:dyDescent="0.2">
      <c r="B40" s="29" t="str">
        <f>B229</f>
        <v>INNE 2</v>
      </c>
      <c r="C40" s="60">
        <f>D229</f>
        <v>0</v>
      </c>
      <c r="D40" s="72"/>
      <c r="E40" s="38" t="str">
        <f>IFERROR(D229/C229,"")</f>
        <v/>
      </c>
    </row>
    <row r="41" spans="2:9" ht="18" customHeight="1" x14ac:dyDescent="0.2">
      <c r="B41" s="29" t="str">
        <f>B241</f>
        <v>INNE 3</v>
      </c>
      <c r="C41" s="60">
        <f>D241</f>
        <v>0</v>
      </c>
      <c r="D41" s="72"/>
      <c r="E41" s="38" t="str">
        <f>IFERROR(D241/C241,"")</f>
        <v/>
      </c>
    </row>
    <row r="42" spans="2:9" ht="18" x14ac:dyDescent="0.2">
      <c r="B42" s="29"/>
      <c r="D42" s="30"/>
      <c r="E42" s="18"/>
    </row>
    <row r="43" spans="2:9" x14ac:dyDescent="0.2">
      <c r="B43" s="18"/>
      <c r="C43" s="18"/>
      <c r="D43" s="18"/>
      <c r="E43" s="18"/>
    </row>
    <row r="44" spans="2:9" ht="22" thickBot="1" x14ac:dyDescent="0.3">
      <c r="B44" s="32" t="s">
        <v>42</v>
      </c>
      <c r="C44" s="33"/>
      <c r="D44" s="33"/>
      <c r="E44" s="33"/>
      <c r="F44" s="33"/>
      <c r="G44" s="33"/>
    </row>
    <row r="46" spans="2:9" ht="21" x14ac:dyDescent="0.25">
      <c r="B46" s="44" t="s">
        <v>26</v>
      </c>
      <c r="I46" s="7" t="s">
        <v>43</v>
      </c>
    </row>
    <row r="47" spans="2:9" x14ac:dyDescent="0.2">
      <c r="B47" s="1"/>
    </row>
    <row r="48" spans="2:9" ht="30" x14ac:dyDescent="0.2">
      <c r="B48" s="8" t="s">
        <v>0</v>
      </c>
      <c r="C48" s="9" t="s">
        <v>127</v>
      </c>
      <c r="D48" s="10" t="s">
        <v>128</v>
      </c>
      <c r="E48" s="8" t="s">
        <v>129</v>
      </c>
      <c r="F48" s="9" t="s">
        <v>140</v>
      </c>
      <c r="G48" s="8" t="s">
        <v>41</v>
      </c>
      <c r="I48" s="41" t="s">
        <v>159</v>
      </c>
    </row>
    <row r="49" spans="2:39" ht="26" customHeight="1" x14ac:dyDescent="0.2">
      <c r="B49" s="39" t="s">
        <v>139</v>
      </c>
      <c r="C49" s="40">
        <f>C51</f>
        <v>0</v>
      </c>
      <c r="D49" s="40">
        <f>D51</f>
        <v>0</v>
      </c>
      <c r="E49" s="40">
        <f>D49-C49</f>
        <v>0</v>
      </c>
      <c r="F49" s="8" t="s">
        <v>141</v>
      </c>
      <c r="G49" s="8"/>
      <c r="I49" s="43">
        <f>SUM(I52:I67)</f>
        <v>0</v>
      </c>
      <c r="J49" s="43">
        <f>SUM(J52:J67)</f>
        <v>0</v>
      </c>
      <c r="K49" s="43">
        <f t="shared" ref="K49:AM49" si="0">SUM(K52:K67)</f>
        <v>0</v>
      </c>
      <c r="L49" s="43">
        <f t="shared" si="0"/>
        <v>0</v>
      </c>
      <c r="M49" s="43">
        <f t="shared" si="0"/>
        <v>0</v>
      </c>
      <c r="N49" s="43">
        <f t="shared" si="0"/>
        <v>0</v>
      </c>
      <c r="O49" s="43">
        <f t="shared" si="0"/>
        <v>0</v>
      </c>
      <c r="P49" s="43">
        <f t="shared" si="0"/>
        <v>0</v>
      </c>
      <c r="Q49" s="43">
        <f t="shared" si="0"/>
        <v>0</v>
      </c>
      <c r="R49" s="43">
        <f t="shared" si="0"/>
        <v>0</v>
      </c>
      <c r="S49" s="43">
        <f t="shared" si="0"/>
        <v>0</v>
      </c>
      <c r="T49" s="43">
        <f t="shared" si="0"/>
        <v>0</v>
      </c>
      <c r="U49" s="43">
        <f t="shared" si="0"/>
        <v>0</v>
      </c>
      <c r="V49" s="43">
        <f t="shared" si="0"/>
        <v>0</v>
      </c>
      <c r="W49" s="43">
        <f t="shared" si="0"/>
        <v>0</v>
      </c>
      <c r="X49" s="43">
        <f t="shared" si="0"/>
        <v>0</v>
      </c>
      <c r="Y49" s="43">
        <f t="shared" si="0"/>
        <v>0</v>
      </c>
      <c r="Z49" s="43">
        <f t="shared" si="0"/>
        <v>0</v>
      </c>
      <c r="AA49" s="43">
        <f t="shared" si="0"/>
        <v>0</v>
      </c>
      <c r="AB49" s="43">
        <f t="shared" si="0"/>
        <v>0</v>
      </c>
      <c r="AC49" s="43">
        <f t="shared" si="0"/>
        <v>0</v>
      </c>
      <c r="AD49" s="43">
        <f t="shared" si="0"/>
        <v>0</v>
      </c>
      <c r="AE49" s="43">
        <f t="shared" si="0"/>
        <v>0</v>
      </c>
      <c r="AF49" s="43">
        <f t="shared" si="0"/>
        <v>0</v>
      </c>
      <c r="AG49" s="43">
        <f t="shared" si="0"/>
        <v>0</v>
      </c>
      <c r="AH49" s="43">
        <f t="shared" si="0"/>
        <v>0</v>
      </c>
      <c r="AI49" s="43">
        <f t="shared" si="0"/>
        <v>0</v>
      </c>
      <c r="AJ49" s="43">
        <f t="shared" si="0"/>
        <v>0</v>
      </c>
      <c r="AK49" s="43">
        <f t="shared" si="0"/>
        <v>0</v>
      </c>
      <c r="AL49" s="43">
        <f t="shared" si="0"/>
        <v>0</v>
      </c>
      <c r="AM49" s="43">
        <f t="shared" si="0"/>
        <v>0</v>
      </c>
    </row>
    <row r="50" spans="2:39" x14ac:dyDescent="0.2">
      <c r="B50" s="1"/>
    </row>
    <row r="51" spans="2:39" x14ac:dyDescent="0.2">
      <c r="B51" s="14" t="str">
        <f>'Wzorzec kategorii'!B14</f>
        <v>Całkowite przychody</v>
      </c>
      <c r="C51" s="15">
        <f>SUM(Tabela718413[[#All],[Kolumna2]])</f>
        <v>0</v>
      </c>
      <c r="D51" s="16">
        <f>SUM(Tabela718413[[#All],[Kolumna3]])</f>
        <v>0</v>
      </c>
      <c r="E51" s="15">
        <f>D51-C51</f>
        <v>0</v>
      </c>
      <c r="F51" s="17" t="str">
        <f>IFERROR(D51/C51,"")</f>
        <v/>
      </c>
      <c r="G51" s="15"/>
      <c r="I51" s="11" t="s">
        <v>44</v>
      </c>
      <c r="J51" s="11" t="s">
        <v>45</v>
      </c>
      <c r="K51" s="11" t="s">
        <v>46</v>
      </c>
      <c r="L51" s="11" t="s">
        <v>47</v>
      </c>
      <c r="M51" s="11" t="s">
        <v>48</v>
      </c>
      <c r="N51" s="11" t="s">
        <v>49</v>
      </c>
      <c r="O51" s="11" t="s">
        <v>50</v>
      </c>
      <c r="P51" s="11" t="s">
        <v>51</v>
      </c>
      <c r="Q51" s="11" t="s">
        <v>52</v>
      </c>
      <c r="R51" s="11" t="s">
        <v>53</v>
      </c>
      <c r="S51" s="11" t="s">
        <v>54</v>
      </c>
      <c r="T51" s="11" t="s">
        <v>55</v>
      </c>
      <c r="U51" s="11" t="s">
        <v>56</v>
      </c>
      <c r="V51" s="11" t="s">
        <v>57</v>
      </c>
      <c r="W51" s="11" t="s">
        <v>58</v>
      </c>
      <c r="X51" s="11" t="s">
        <v>59</v>
      </c>
      <c r="Y51" s="11" t="s">
        <v>60</v>
      </c>
      <c r="Z51" s="11" t="s">
        <v>61</v>
      </c>
      <c r="AA51" s="11" t="s">
        <v>62</v>
      </c>
      <c r="AB51" s="11" t="s">
        <v>63</v>
      </c>
      <c r="AC51" s="11" t="s">
        <v>64</v>
      </c>
      <c r="AD51" s="11" t="s">
        <v>65</v>
      </c>
      <c r="AE51" s="11" t="s">
        <v>66</v>
      </c>
      <c r="AF51" s="11" t="s">
        <v>67</v>
      </c>
      <c r="AG51" s="11" t="s">
        <v>68</v>
      </c>
      <c r="AH51" s="11" t="s">
        <v>69</v>
      </c>
      <c r="AI51" s="11" t="s">
        <v>70</v>
      </c>
      <c r="AJ51" s="11" t="s">
        <v>71</v>
      </c>
      <c r="AK51" s="11" t="s">
        <v>72</v>
      </c>
      <c r="AL51" s="11" t="s">
        <v>73</v>
      </c>
      <c r="AM51" s="11" t="s">
        <v>74</v>
      </c>
    </row>
    <row r="52" spans="2:39" x14ac:dyDescent="0.2">
      <c r="B52" s="22" t="str">
        <f>'Wzorzec kategorii'!B15</f>
        <v>Wynagrodzenie</v>
      </c>
      <c r="C52" s="19">
        <v>0</v>
      </c>
      <c r="D52" s="47">
        <f>SUM(Tabela33064442[#This Row])</f>
        <v>0</v>
      </c>
      <c r="E52" s="20">
        <f>Tabela718413[[#This Row],[Kolumna3]]-Tabela718413[[#This Row],[Kolumna2]]</f>
        <v>0</v>
      </c>
      <c r="F52" s="21" t="str">
        <f t="shared" ref="F52:F66" si="1">IFERROR(D52/C52,"")</f>
        <v/>
      </c>
      <c r="G52" s="2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ht="30" x14ac:dyDescent="0.2">
      <c r="B53" s="22" t="str">
        <f>'Wzorzec kategorii'!B16</f>
        <v>Wynagrodzenie Partnera / Partnerki</v>
      </c>
      <c r="C53" s="19">
        <v>0</v>
      </c>
      <c r="D53" s="47">
        <f>SUM(Tabela33064442[#This Row])</f>
        <v>0</v>
      </c>
      <c r="E53" s="20">
        <f>Tabela718413[[#This Row],[Kolumna3]]-Tabela718413[[#This Row],[Kolumna2]]</f>
        <v>0</v>
      </c>
      <c r="F53" s="21" t="str">
        <f t="shared" si="1"/>
        <v/>
      </c>
      <c r="G53" s="2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x14ac:dyDescent="0.2">
      <c r="B54" s="22" t="str">
        <f>'Wzorzec kategorii'!B17</f>
        <v>Premia</v>
      </c>
      <c r="C54" s="19">
        <v>0</v>
      </c>
      <c r="D54" s="47">
        <f>SUM(Tabela33064442[#This Row])</f>
        <v>0</v>
      </c>
      <c r="E54" s="20">
        <f>Tabela718413[[#This Row],[Kolumna3]]-Tabela718413[[#This Row],[Kolumna2]]</f>
        <v>0</v>
      </c>
      <c r="F54" s="21" t="str">
        <f t="shared" si="1"/>
        <v/>
      </c>
      <c r="G54" s="2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x14ac:dyDescent="0.2">
      <c r="B55" s="22" t="str">
        <f>'Wzorzec kategorii'!B18</f>
        <v>Przychody z premii bankowych</v>
      </c>
      <c r="C55" s="19">
        <v>0</v>
      </c>
      <c r="D55" s="47">
        <f>SUM(Tabela33064442[#This Row])</f>
        <v>0</v>
      </c>
      <c r="E55" s="20">
        <f>Tabela718413[[#This Row],[Kolumna3]]-Tabela718413[[#This Row],[Kolumna2]]</f>
        <v>0</v>
      </c>
      <c r="F55" s="21" t="str">
        <f t="shared" si="1"/>
        <v/>
      </c>
      <c r="G55" s="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x14ac:dyDescent="0.2">
      <c r="B56" s="22" t="str">
        <f>'Wzorzec kategorii'!B19</f>
        <v>Odsetki bankowe</v>
      </c>
      <c r="C56" s="19">
        <v>0</v>
      </c>
      <c r="D56" s="47">
        <f>SUM(Tabela33064442[#This Row])</f>
        <v>0</v>
      </c>
      <c r="E56" s="20">
        <f>Tabela718413[[#This Row],[Kolumna3]]-Tabela718413[[#This Row],[Kolumna2]]</f>
        <v>0</v>
      </c>
      <c r="F56" s="21" t="str">
        <f t="shared" si="1"/>
        <v/>
      </c>
      <c r="G56" s="2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2:39" x14ac:dyDescent="0.2">
      <c r="B57" s="22" t="str">
        <f>'Wzorzec kategorii'!B20</f>
        <v>Sprzedaż na Allegro itp.</v>
      </c>
      <c r="C57" s="19">
        <v>0</v>
      </c>
      <c r="D57" s="47">
        <f>SUM(Tabela33064442[#This Row])</f>
        <v>0</v>
      </c>
      <c r="E57" s="20">
        <f>Tabela718413[[#This Row],[Kolumna3]]-Tabela718413[[#This Row],[Kolumna2]]</f>
        <v>0</v>
      </c>
      <c r="F57" s="21" t="str">
        <f t="shared" si="1"/>
        <v/>
      </c>
      <c r="G57" s="2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9" x14ac:dyDescent="0.2">
      <c r="B58" s="22" t="str">
        <f>'Wzorzec kategorii'!B21</f>
        <v>Inne przychody</v>
      </c>
      <c r="C58" s="19">
        <v>0</v>
      </c>
      <c r="D58" s="47">
        <f>SUM(Tabela33064442[#This Row])</f>
        <v>0</v>
      </c>
      <c r="E58" s="20">
        <f>Tabela718413[[#This Row],[Kolumna3]]-Tabela718413[[#This Row],[Kolumna2]]</f>
        <v>0</v>
      </c>
      <c r="F58" s="21" t="str">
        <f t="shared" si="1"/>
        <v/>
      </c>
      <c r="G58" s="2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2:39" x14ac:dyDescent="0.2">
      <c r="B59" s="22" t="str">
        <f>'Wzorzec kategorii'!B22</f>
        <v>.</v>
      </c>
      <c r="C59" s="19">
        <v>0</v>
      </c>
      <c r="D59" s="47">
        <f>SUM(Tabela33064442[#This Row])</f>
        <v>0</v>
      </c>
      <c r="E59" s="20">
        <f>Tabela718413[[#This Row],[Kolumna3]]-Tabela718413[[#This Row],[Kolumna2]]</f>
        <v>0</v>
      </c>
      <c r="F59" s="53" t="str">
        <f t="shared" si="1"/>
        <v/>
      </c>
      <c r="G59" s="2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2:39" x14ac:dyDescent="0.2">
      <c r="B60" s="22" t="str">
        <f>'Wzorzec kategorii'!B23</f>
        <v>.</v>
      </c>
      <c r="C60" s="19">
        <v>0</v>
      </c>
      <c r="D60" s="47">
        <f>SUM(Tabela33064442[#This Row])</f>
        <v>0</v>
      </c>
      <c r="E60" s="20">
        <f>Tabela718413[[#This Row],[Kolumna3]]-Tabela718413[[#This Row],[Kolumna2]]</f>
        <v>0</v>
      </c>
      <c r="F60" s="53" t="str">
        <f t="shared" si="1"/>
        <v/>
      </c>
      <c r="G60" s="2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2:39" x14ac:dyDescent="0.2">
      <c r="B61" s="22" t="str">
        <f>'Wzorzec kategorii'!B24</f>
        <v>.</v>
      </c>
      <c r="C61" s="19">
        <v>0</v>
      </c>
      <c r="D61" s="47">
        <f>SUM(Tabela33064442[#This Row])</f>
        <v>0</v>
      </c>
      <c r="E61" s="20">
        <f>Tabela718413[[#This Row],[Kolumna3]]-Tabela718413[[#This Row],[Kolumna2]]</f>
        <v>0</v>
      </c>
      <c r="F61" s="53" t="str">
        <f t="shared" si="1"/>
        <v/>
      </c>
      <c r="G61" s="2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2:39" x14ac:dyDescent="0.2">
      <c r="B62" s="22" t="str">
        <f>'Wzorzec kategorii'!B25</f>
        <v>.</v>
      </c>
      <c r="C62" s="19">
        <v>0</v>
      </c>
      <c r="D62" s="47">
        <f>SUM(Tabela33064442[#This Row])</f>
        <v>0</v>
      </c>
      <c r="E62" s="20">
        <f>Tabela718413[[#This Row],[Kolumna3]]-Tabela718413[[#This Row],[Kolumna2]]</f>
        <v>0</v>
      </c>
      <c r="F62" s="53" t="str">
        <f t="shared" si="1"/>
        <v/>
      </c>
      <c r="G62" s="2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:39" x14ac:dyDescent="0.2">
      <c r="B63" s="22" t="str">
        <f>'Wzorzec kategorii'!B26</f>
        <v>.</v>
      </c>
      <c r="C63" s="19">
        <v>0</v>
      </c>
      <c r="D63" s="47">
        <f>SUM(Tabela33064442[#This Row])</f>
        <v>0</v>
      </c>
      <c r="E63" s="20">
        <f>Tabela718413[[#This Row],[Kolumna3]]-Tabela718413[[#This Row],[Kolumna2]]</f>
        <v>0</v>
      </c>
      <c r="F63" s="53" t="str">
        <f t="shared" si="1"/>
        <v/>
      </c>
      <c r="G63" s="2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x14ac:dyDescent="0.2">
      <c r="B64" s="22" t="str">
        <f>'Wzorzec kategorii'!B27</f>
        <v>.</v>
      </c>
      <c r="C64" s="19">
        <v>0</v>
      </c>
      <c r="D64" s="47">
        <f>SUM(Tabela33064442[#This Row])</f>
        <v>0</v>
      </c>
      <c r="E64" s="20">
        <f>Tabela718413[[#This Row],[Kolumna3]]-Tabela718413[[#This Row],[Kolumna2]]</f>
        <v>0</v>
      </c>
      <c r="F64" s="53" t="str">
        <f t="shared" si="1"/>
        <v/>
      </c>
      <c r="G64" s="2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:39" x14ac:dyDescent="0.2">
      <c r="B65" s="22" t="str">
        <f>'Wzorzec kategorii'!B28</f>
        <v>.</v>
      </c>
      <c r="C65" s="19">
        <v>0</v>
      </c>
      <c r="D65" s="47">
        <f>SUM(Tabela33064442[#This Row])</f>
        <v>0</v>
      </c>
      <c r="E65" s="20">
        <f>Tabela718413[[#This Row],[Kolumna3]]-Tabela718413[[#This Row],[Kolumna2]]</f>
        <v>0</v>
      </c>
      <c r="F65" s="53" t="str">
        <f t="shared" si="1"/>
        <v/>
      </c>
      <c r="G65" s="2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39" x14ac:dyDescent="0.2">
      <c r="B66" s="22" t="str">
        <f>'Wzorzec kategorii'!B29</f>
        <v>.</v>
      </c>
      <c r="C66" s="19">
        <v>0</v>
      </c>
      <c r="D66" s="47">
        <f>SUM(Tabela33064442[#This Row])</f>
        <v>0</v>
      </c>
      <c r="E66" s="20">
        <f>Tabela718413[[#This Row],[Kolumna3]]-Tabela718413[[#This Row],[Kolumna2]]</f>
        <v>0</v>
      </c>
      <c r="F66" s="53" t="str">
        <f t="shared" si="1"/>
        <v/>
      </c>
      <c r="G66" s="2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:39" x14ac:dyDescent="0.2">
      <c r="B67" s="5" t="s">
        <v>30</v>
      </c>
    </row>
    <row r="68" spans="2:39" ht="21" x14ac:dyDescent="0.25">
      <c r="B68" s="44" t="s">
        <v>25</v>
      </c>
      <c r="I68" s="7" t="s">
        <v>43</v>
      </c>
    </row>
    <row r="70" spans="2:39" ht="30" x14ac:dyDescent="0.2">
      <c r="B70" s="8" t="s">
        <v>0</v>
      </c>
      <c r="C70" s="9" t="s">
        <v>131</v>
      </c>
      <c r="D70" s="10" t="s">
        <v>135</v>
      </c>
      <c r="E70" s="8" t="s">
        <v>129</v>
      </c>
      <c r="F70" s="9" t="s">
        <v>140</v>
      </c>
      <c r="G70" s="8" t="s">
        <v>41</v>
      </c>
      <c r="I70" s="41" t="s">
        <v>142</v>
      </c>
    </row>
    <row r="71" spans="2:39" ht="24" customHeight="1" x14ac:dyDescent="0.2">
      <c r="B71" s="39" t="s">
        <v>139</v>
      </c>
      <c r="C71" s="40">
        <f>C73+C85+C97+C109+C121+C133+C145+C157+C169+C181+C193+C205+C217+C229+C241</f>
        <v>0</v>
      </c>
      <c r="D71" s="40">
        <f>D73+D85+D97+D109+D121+D133+D145+D157+D169+D181+D193+D205+D217+D229+D241</f>
        <v>0</v>
      </c>
      <c r="E71" s="40">
        <f>C71-D71</f>
        <v>0</v>
      </c>
      <c r="F71" s="8" t="s">
        <v>141</v>
      </c>
      <c r="G71" s="8"/>
      <c r="I71" s="43">
        <f>SUM(I73:I251)</f>
        <v>0</v>
      </c>
      <c r="J71" s="43">
        <f>SUM(J73:J251)</f>
        <v>0</v>
      </c>
      <c r="K71" s="43">
        <f t="shared" ref="K71:AM71" si="2">SUM(K73:K251)</f>
        <v>0</v>
      </c>
      <c r="L71" s="43">
        <f t="shared" si="2"/>
        <v>0</v>
      </c>
      <c r="M71" s="43">
        <f t="shared" si="2"/>
        <v>0</v>
      </c>
      <c r="N71" s="43">
        <f t="shared" si="2"/>
        <v>0</v>
      </c>
      <c r="O71" s="43">
        <f t="shared" si="2"/>
        <v>0</v>
      </c>
      <c r="P71" s="43">
        <f t="shared" si="2"/>
        <v>0</v>
      </c>
      <c r="Q71" s="43">
        <f t="shared" si="2"/>
        <v>0</v>
      </c>
      <c r="R71" s="43">
        <f t="shared" si="2"/>
        <v>0</v>
      </c>
      <c r="S71" s="43">
        <f t="shared" si="2"/>
        <v>0</v>
      </c>
      <c r="T71" s="43">
        <f t="shared" si="2"/>
        <v>0</v>
      </c>
      <c r="U71" s="43">
        <f t="shared" si="2"/>
        <v>0</v>
      </c>
      <c r="V71" s="43">
        <f t="shared" si="2"/>
        <v>0</v>
      </c>
      <c r="W71" s="43">
        <f t="shared" si="2"/>
        <v>0</v>
      </c>
      <c r="X71" s="43">
        <f t="shared" si="2"/>
        <v>0</v>
      </c>
      <c r="Y71" s="43">
        <f t="shared" si="2"/>
        <v>0</v>
      </c>
      <c r="Z71" s="43">
        <f t="shared" si="2"/>
        <v>0</v>
      </c>
      <c r="AA71" s="43">
        <f t="shared" si="2"/>
        <v>0</v>
      </c>
      <c r="AB71" s="43">
        <f t="shared" si="2"/>
        <v>0</v>
      </c>
      <c r="AC71" s="43">
        <f t="shared" si="2"/>
        <v>0</v>
      </c>
      <c r="AD71" s="43">
        <f t="shared" si="2"/>
        <v>0</v>
      </c>
      <c r="AE71" s="43">
        <f t="shared" si="2"/>
        <v>0</v>
      </c>
      <c r="AF71" s="43">
        <f t="shared" si="2"/>
        <v>0</v>
      </c>
      <c r="AG71" s="43">
        <f t="shared" si="2"/>
        <v>0</v>
      </c>
      <c r="AH71" s="43">
        <f t="shared" si="2"/>
        <v>0</v>
      </c>
      <c r="AI71" s="43">
        <f t="shared" si="2"/>
        <v>0</v>
      </c>
      <c r="AJ71" s="43">
        <f t="shared" si="2"/>
        <v>0</v>
      </c>
      <c r="AK71" s="43">
        <f t="shared" si="2"/>
        <v>0</v>
      </c>
      <c r="AL71" s="43">
        <f t="shared" si="2"/>
        <v>0</v>
      </c>
      <c r="AM71" s="43">
        <f t="shared" si="2"/>
        <v>0</v>
      </c>
    </row>
    <row r="73" spans="2:39" x14ac:dyDescent="0.2">
      <c r="B73" s="14" t="str">
        <f>'Wzorzec kategorii'!B35</f>
        <v>Jedzenie</v>
      </c>
      <c r="C73" s="15">
        <f>SUM(Jedzenie2411[[#All],[0]])</f>
        <v>0</v>
      </c>
      <c r="D73" s="16">
        <f>SUM(Jedzenie2411[[#All],[02]])</f>
        <v>0</v>
      </c>
      <c r="E73" s="15">
        <f t="shared" ref="E73:E83" si="3">C73-D73</f>
        <v>0</v>
      </c>
      <c r="F73" s="17" t="str">
        <f t="shared" ref="F73:F83" si="4">IFERROR(D73/C73,"")</f>
        <v/>
      </c>
      <c r="G73" s="23"/>
      <c r="I73" s="11" t="s">
        <v>44</v>
      </c>
      <c r="J73" s="11" t="s">
        <v>45</v>
      </c>
      <c r="K73" s="11" t="s">
        <v>46</v>
      </c>
      <c r="L73" s="11" t="s">
        <v>47</v>
      </c>
      <c r="M73" s="11" t="s">
        <v>48</v>
      </c>
      <c r="N73" s="11" t="s">
        <v>49</v>
      </c>
      <c r="O73" s="11" t="s">
        <v>50</v>
      </c>
      <c r="P73" s="11" t="s">
        <v>51</v>
      </c>
      <c r="Q73" s="11" t="s">
        <v>52</v>
      </c>
      <c r="R73" s="11" t="s">
        <v>53</v>
      </c>
      <c r="S73" s="11" t="s">
        <v>54</v>
      </c>
      <c r="T73" s="11" t="s">
        <v>55</v>
      </c>
      <c r="U73" s="11" t="s">
        <v>56</v>
      </c>
      <c r="V73" s="11" t="s">
        <v>57</v>
      </c>
      <c r="W73" s="11" t="s">
        <v>58</v>
      </c>
      <c r="X73" s="11" t="s">
        <v>59</v>
      </c>
      <c r="Y73" s="11" t="s">
        <v>60</v>
      </c>
      <c r="Z73" s="11" t="s">
        <v>61</v>
      </c>
      <c r="AA73" s="11" t="s">
        <v>62</v>
      </c>
      <c r="AB73" s="11" t="s">
        <v>63</v>
      </c>
      <c r="AC73" s="11" t="s">
        <v>64</v>
      </c>
      <c r="AD73" s="11" t="s">
        <v>65</v>
      </c>
      <c r="AE73" s="11" t="s">
        <v>66</v>
      </c>
      <c r="AF73" s="11" t="s">
        <v>67</v>
      </c>
      <c r="AG73" s="11" t="s">
        <v>68</v>
      </c>
      <c r="AH73" s="11" t="s">
        <v>69</v>
      </c>
      <c r="AI73" s="11" t="s">
        <v>70</v>
      </c>
      <c r="AJ73" s="11" t="s">
        <v>71</v>
      </c>
      <c r="AK73" s="11" t="s">
        <v>72</v>
      </c>
      <c r="AL73" s="11" t="s">
        <v>73</v>
      </c>
      <c r="AM73" s="11" t="s">
        <v>74</v>
      </c>
    </row>
    <row r="74" spans="2:39" x14ac:dyDescent="0.2">
      <c r="B74" s="22" t="str">
        <f>'Wzorzec kategorii'!B36</f>
        <v>Jedzenie dom</v>
      </c>
      <c r="C74" s="19">
        <v>0</v>
      </c>
      <c r="D74" s="20">
        <f>SUM(Tabela330414[#This Row])</f>
        <v>0</v>
      </c>
      <c r="E74" s="20">
        <f t="shared" si="3"/>
        <v>0</v>
      </c>
      <c r="F74" s="21" t="str">
        <f t="shared" si="4"/>
        <v/>
      </c>
      <c r="G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2:39" x14ac:dyDescent="0.2">
      <c r="B75" s="22" t="str">
        <f>'Wzorzec kategorii'!B37</f>
        <v>Jedzenie miasto</v>
      </c>
      <c r="C75" s="19">
        <v>0</v>
      </c>
      <c r="D75" s="20">
        <f>SUM(Tabela330414[#This Row])</f>
        <v>0</v>
      </c>
      <c r="E75" s="20">
        <f t="shared" si="3"/>
        <v>0</v>
      </c>
      <c r="F75" s="21" t="str">
        <f t="shared" si="4"/>
        <v/>
      </c>
      <c r="G75" s="2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:39" x14ac:dyDescent="0.2">
      <c r="B76" s="22" t="str">
        <f>'Wzorzec kategorii'!B38</f>
        <v>Jedzenie praca</v>
      </c>
      <c r="C76" s="19">
        <v>0</v>
      </c>
      <c r="D76" s="20">
        <f>SUM(Tabela330414[#This Row])</f>
        <v>0</v>
      </c>
      <c r="E76" s="20">
        <f t="shared" si="3"/>
        <v>0</v>
      </c>
      <c r="F76" s="21" t="str">
        <f t="shared" si="4"/>
        <v/>
      </c>
      <c r="G76" s="2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2:39" x14ac:dyDescent="0.2">
      <c r="B77" s="22" t="str">
        <f>'Wzorzec kategorii'!B39</f>
        <v>Alkohol</v>
      </c>
      <c r="C77" s="19">
        <v>0</v>
      </c>
      <c r="D77" s="20">
        <f>SUM(Tabela330414[#This Row])</f>
        <v>0</v>
      </c>
      <c r="E77" s="20">
        <f t="shared" si="3"/>
        <v>0</v>
      </c>
      <c r="F77" s="21" t="str">
        <f t="shared" si="4"/>
        <v/>
      </c>
      <c r="G77" s="2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2:39" x14ac:dyDescent="0.2">
      <c r="B78" s="22" t="str">
        <f>'Wzorzec kategorii'!B40</f>
        <v>Inne</v>
      </c>
      <c r="C78" s="19">
        <v>0</v>
      </c>
      <c r="D78" s="20">
        <f>SUM(Tabela330414[#This Row])</f>
        <v>0</v>
      </c>
      <c r="E78" s="20">
        <f t="shared" si="3"/>
        <v>0</v>
      </c>
      <c r="F78" s="21" t="str">
        <f t="shared" si="4"/>
        <v/>
      </c>
      <c r="G78" s="2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:39" x14ac:dyDescent="0.2">
      <c r="B79" s="22" t="str">
        <f>'Wzorzec kategorii'!B41</f>
        <v>.</v>
      </c>
      <c r="C79" s="19">
        <v>0</v>
      </c>
      <c r="D79" s="20">
        <f>SUM(Tabela330414[#This Row])</f>
        <v>0</v>
      </c>
      <c r="E79" s="20">
        <f t="shared" si="3"/>
        <v>0</v>
      </c>
      <c r="F79" s="53" t="str">
        <f t="shared" si="4"/>
        <v/>
      </c>
      <c r="G79" s="5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:39" x14ac:dyDescent="0.2">
      <c r="B80" s="22" t="str">
        <f>'Wzorzec kategorii'!B42</f>
        <v>.</v>
      </c>
      <c r="C80" s="19">
        <v>0</v>
      </c>
      <c r="D80" s="20">
        <f>SUM(Tabela330414[#This Row])</f>
        <v>0</v>
      </c>
      <c r="E80" s="20">
        <f t="shared" si="3"/>
        <v>0</v>
      </c>
      <c r="F80" s="53" t="str">
        <f t="shared" si="4"/>
        <v/>
      </c>
      <c r="G80" s="5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2:41" x14ac:dyDescent="0.2">
      <c r="B81" s="22" t="str">
        <f>'Wzorzec kategorii'!B43</f>
        <v>.</v>
      </c>
      <c r="C81" s="19">
        <v>0</v>
      </c>
      <c r="D81" s="20">
        <f>SUM(Tabela330414[#This Row])</f>
        <v>0</v>
      </c>
      <c r="E81" s="20">
        <f t="shared" si="3"/>
        <v>0</v>
      </c>
      <c r="F81" s="53" t="str">
        <f t="shared" si="4"/>
        <v/>
      </c>
      <c r="G81" s="5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2:41" x14ac:dyDescent="0.2">
      <c r="B82" s="22" t="str">
        <f>'Wzorzec kategorii'!B44</f>
        <v>.</v>
      </c>
      <c r="C82" s="19">
        <v>0</v>
      </c>
      <c r="D82" s="20">
        <f>SUM(Tabela330414[#This Row])</f>
        <v>0</v>
      </c>
      <c r="E82" s="20">
        <f t="shared" si="3"/>
        <v>0</v>
      </c>
      <c r="F82" s="53" t="str">
        <f t="shared" si="4"/>
        <v/>
      </c>
      <c r="G82" s="5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2:41" x14ac:dyDescent="0.2">
      <c r="B83" s="22" t="str">
        <f>'Wzorzec kategorii'!B45</f>
        <v>.</v>
      </c>
      <c r="C83" s="19">
        <v>0</v>
      </c>
      <c r="D83" s="20">
        <f>SUM(Tabela330414[#This Row])</f>
        <v>0</v>
      </c>
      <c r="E83" s="20">
        <f t="shared" si="3"/>
        <v>0</v>
      </c>
      <c r="F83" s="53" t="str">
        <f t="shared" si="4"/>
        <v/>
      </c>
      <c r="G83" s="5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2:41" x14ac:dyDescent="0.2">
      <c r="B84" s="5" t="s">
        <v>30</v>
      </c>
      <c r="C84" s="6"/>
      <c r="D84" s="4"/>
      <c r="E84" s="4"/>
      <c r="F84" s="4"/>
      <c r="G84" s="4"/>
      <c r="I84" s="5" t="s">
        <v>30</v>
      </c>
    </row>
    <row r="85" spans="2:41" x14ac:dyDescent="0.2">
      <c r="B85" s="14" t="str">
        <f>'Wzorzec kategorii'!B47</f>
        <v>Mieszkanie / dom</v>
      </c>
      <c r="C85" s="15">
        <f>SUM(Tabela431415[[#All],[Kolumna2]])</f>
        <v>0</v>
      </c>
      <c r="D85" s="16">
        <f>SUM(Tabela431415[[#All],[Kolumna3]])</f>
        <v>0</v>
      </c>
      <c r="E85" s="15">
        <f>C85-D85</f>
        <v>0</v>
      </c>
      <c r="F85" s="17" t="str">
        <f>IFERROR(D85/C85,"")</f>
        <v/>
      </c>
      <c r="G85" s="23"/>
      <c r="I85" s="11" t="s">
        <v>44</v>
      </c>
      <c r="J85" s="11" t="s">
        <v>45</v>
      </c>
      <c r="K85" s="11" t="s">
        <v>46</v>
      </c>
      <c r="L85" s="11" t="s">
        <v>47</v>
      </c>
      <c r="M85" s="11" t="s">
        <v>48</v>
      </c>
      <c r="N85" s="11" t="s">
        <v>49</v>
      </c>
      <c r="O85" s="11" t="s">
        <v>50</v>
      </c>
      <c r="P85" s="11" t="s">
        <v>51</v>
      </c>
      <c r="Q85" s="11" t="s">
        <v>52</v>
      </c>
      <c r="R85" s="11" t="s">
        <v>53</v>
      </c>
      <c r="S85" s="11" t="s">
        <v>54</v>
      </c>
      <c r="T85" s="11" t="s">
        <v>55</v>
      </c>
      <c r="U85" s="11" t="s">
        <v>56</v>
      </c>
      <c r="V85" s="11" t="s">
        <v>57</v>
      </c>
      <c r="W85" s="11" t="s">
        <v>58</v>
      </c>
      <c r="X85" s="11" t="s">
        <v>59</v>
      </c>
      <c r="Y85" s="11" t="s">
        <v>60</v>
      </c>
      <c r="Z85" s="11" t="s">
        <v>61</v>
      </c>
      <c r="AA85" s="11" t="s">
        <v>62</v>
      </c>
      <c r="AB85" s="11" t="s">
        <v>63</v>
      </c>
      <c r="AC85" s="11" t="s">
        <v>64</v>
      </c>
      <c r="AD85" s="11" t="s">
        <v>65</v>
      </c>
      <c r="AE85" s="11" t="s">
        <v>66</v>
      </c>
      <c r="AF85" s="11" t="s">
        <v>67</v>
      </c>
      <c r="AG85" s="11" t="s">
        <v>68</v>
      </c>
      <c r="AH85" s="11" t="s">
        <v>69</v>
      </c>
      <c r="AI85" s="11" t="s">
        <v>70</v>
      </c>
      <c r="AJ85" s="11" t="s">
        <v>71</v>
      </c>
      <c r="AK85" s="11" t="s">
        <v>72</v>
      </c>
      <c r="AL85" s="11" t="s">
        <v>73</v>
      </c>
      <c r="AM85" s="11" t="s">
        <v>74</v>
      </c>
      <c r="AN85" s="25"/>
      <c r="AO85" s="25"/>
    </row>
    <row r="86" spans="2:41" x14ac:dyDescent="0.2">
      <c r="B86" s="22" t="str">
        <f>'Wzorzec kategorii'!B48</f>
        <v>Czynsz</v>
      </c>
      <c r="C86" s="19">
        <v>0</v>
      </c>
      <c r="D86" s="20">
        <f>SUM(Tabela1841425[#This Row])</f>
        <v>0</v>
      </c>
      <c r="E86" s="20">
        <f t="shared" ref="E86:E95" si="5">C86-D86</f>
        <v>0</v>
      </c>
      <c r="F86" s="21" t="str">
        <f t="shared" ref="F86:F95" si="6">IFERROR(D86/C86,"")</f>
        <v/>
      </c>
      <c r="G86" s="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25"/>
      <c r="AO86" s="25"/>
    </row>
    <row r="87" spans="2:41" x14ac:dyDescent="0.2">
      <c r="B87" s="22" t="str">
        <f>'Wzorzec kategorii'!B49</f>
        <v>Woda i kanalizacja</v>
      </c>
      <c r="C87" s="19">
        <v>0</v>
      </c>
      <c r="D87" s="20">
        <f>SUM(Tabela1841425[#This Row])</f>
        <v>0</v>
      </c>
      <c r="E87" s="20">
        <f t="shared" si="5"/>
        <v>0</v>
      </c>
      <c r="F87" s="21" t="str">
        <f t="shared" si="6"/>
        <v/>
      </c>
      <c r="G87" s="2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25"/>
      <c r="AO87" s="25"/>
    </row>
    <row r="88" spans="2:41" x14ac:dyDescent="0.2">
      <c r="B88" s="22" t="str">
        <f>'Wzorzec kategorii'!B50</f>
        <v>Prąd</v>
      </c>
      <c r="C88" s="19">
        <v>0</v>
      </c>
      <c r="D88" s="20">
        <f>SUM(Tabela1841425[#This Row])</f>
        <v>0</v>
      </c>
      <c r="E88" s="20">
        <f t="shared" si="5"/>
        <v>0</v>
      </c>
      <c r="F88" s="21" t="str">
        <f t="shared" si="6"/>
        <v/>
      </c>
      <c r="G88" s="2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25"/>
      <c r="AO88" s="25"/>
    </row>
    <row r="89" spans="2:41" x14ac:dyDescent="0.2">
      <c r="B89" s="22" t="str">
        <f>'Wzorzec kategorii'!B51</f>
        <v>Gaz</v>
      </c>
      <c r="C89" s="19">
        <v>0</v>
      </c>
      <c r="D89" s="20">
        <f>SUM(Tabela1841425[#This Row])</f>
        <v>0</v>
      </c>
      <c r="E89" s="20">
        <f t="shared" si="5"/>
        <v>0</v>
      </c>
      <c r="F89" s="21" t="str">
        <f t="shared" si="6"/>
        <v/>
      </c>
      <c r="G89" s="2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25"/>
      <c r="AO89" s="25"/>
    </row>
    <row r="90" spans="2:41" x14ac:dyDescent="0.2">
      <c r="B90" s="22" t="str">
        <f>'Wzorzec kategorii'!B52</f>
        <v>Ogrzewanie</v>
      </c>
      <c r="C90" s="19">
        <v>0</v>
      </c>
      <c r="D90" s="20">
        <f>SUM(Tabela1841425[#This Row])</f>
        <v>0</v>
      </c>
      <c r="E90" s="20">
        <f t="shared" si="5"/>
        <v>0</v>
      </c>
      <c r="F90" s="21" t="str">
        <f t="shared" si="6"/>
        <v/>
      </c>
      <c r="G90" s="24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25"/>
      <c r="AO90" s="25"/>
    </row>
    <row r="91" spans="2:41" x14ac:dyDescent="0.2">
      <c r="B91" s="22" t="str">
        <f>'Wzorzec kategorii'!B53</f>
        <v>Wywóz śmieci</v>
      </c>
      <c r="C91" s="19">
        <v>0</v>
      </c>
      <c r="D91" s="20">
        <f>SUM(Tabela1841425[#This Row])</f>
        <v>0</v>
      </c>
      <c r="E91" s="20">
        <f t="shared" si="5"/>
        <v>0</v>
      </c>
      <c r="F91" s="21" t="str">
        <f t="shared" si="6"/>
        <v/>
      </c>
      <c r="G91" s="24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25"/>
      <c r="AO91" s="25"/>
    </row>
    <row r="92" spans="2:41" x14ac:dyDescent="0.2">
      <c r="B92" s="22" t="str">
        <f>'Wzorzec kategorii'!B54</f>
        <v>Konserwacja i naprawy</v>
      </c>
      <c r="C92" s="19">
        <v>0</v>
      </c>
      <c r="D92" s="20">
        <f>SUM(Tabela1841425[#This Row])</f>
        <v>0</v>
      </c>
      <c r="E92" s="20">
        <f t="shared" si="5"/>
        <v>0</v>
      </c>
      <c r="F92" s="21" t="str">
        <f t="shared" si="6"/>
        <v/>
      </c>
      <c r="G92" s="2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25"/>
      <c r="AO92" s="25"/>
    </row>
    <row r="93" spans="2:41" x14ac:dyDescent="0.2">
      <c r="B93" s="22" t="str">
        <f>'Wzorzec kategorii'!B55</f>
        <v>Wyposażenie</v>
      </c>
      <c r="C93" s="19">
        <v>0</v>
      </c>
      <c r="D93" s="20">
        <f>SUM(Tabela1841425[#This Row])</f>
        <v>0</v>
      </c>
      <c r="E93" s="20">
        <f t="shared" si="5"/>
        <v>0</v>
      </c>
      <c r="F93" s="21" t="str">
        <f t="shared" si="6"/>
        <v/>
      </c>
      <c r="G93" s="2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25"/>
      <c r="AO93" s="25"/>
    </row>
    <row r="94" spans="2:41" x14ac:dyDescent="0.2">
      <c r="B94" s="22" t="str">
        <f>'Wzorzec kategorii'!B56</f>
        <v>Ubezpieczenie nieruchomości</v>
      </c>
      <c r="C94" s="19">
        <v>0</v>
      </c>
      <c r="D94" s="20">
        <f>SUM(Tabela1841425[#This Row])</f>
        <v>0</v>
      </c>
      <c r="E94" s="20">
        <f t="shared" si="5"/>
        <v>0</v>
      </c>
      <c r="F94" s="21" t="str">
        <f t="shared" si="6"/>
        <v/>
      </c>
      <c r="G94" s="2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25"/>
      <c r="AO94" s="25"/>
    </row>
    <row r="95" spans="2:41" x14ac:dyDescent="0.2">
      <c r="B95" s="22" t="str">
        <f>'Wzorzec kategorii'!B57</f>
        <v>Inne</v>
      </c>
      <c r="C95" s="19">
        <v>0</v>
      </c>
      <c r="D95" s="20">
        <f>SUM(Tabela1841425[#This Row])</f>
        <v>0</v>
      </c>
      <c r="E95" s="20">
        <f t="shared" si="5"/>
        <v>0</v>
      </c>
      <c r="F95" s="21" t="str">
        <f t="shared" si="6"/>
        <v/>
      </c>
      <c r="G95" s="2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25"/>
      <c r="AO95" s="25"/>
    </row>
    <row r="96" spans="2:41" x14ac:dyDescent="0.2">
      <c r="B96" s="5" t="s">
        <v>30</v>
      </c>
      <c r="C96" s="6"/>
      <c r="D96" s="4"/>
      <c r="E96" s="4"/>
      <c r="F96" s="4"/>
      <c r="G96" s="4"/>
      <c r="I96" s="26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</row>
    <row r="97" spans="2:41" x14ac:dyDescent="0.2">
      <c r="B97" s="2" t="str">
        <f>'Wzorzec kategorii'!B59</f>
        <v>Transport</v>
      </c>
      <c r="C97" s="3">
        <f>SUM(Transport3412[[#All],[Kolumna2]])</f>
        <v>0</v>
      </c>
      <c r="D97" s="16">
        <f>SUM(Transport3412[[#All],[Kolumna3]])</f>
        <v>0</v>
      </c>
      <c r="E97" s="3">
        <f>C97-D97</f>
        <v>0</v>
      </c>
      <c r="F97" s="17" t="str">
        <f>IFERROR(D97/C97,"")</f>
        <v/>
      </c>
      <c r="G97" s="3"/>
      <c r="I97" s="11" t="s">
        <v>44</v>
      </c>
      <c r="J97" s="11" t="s">
        <v>45</v>
      </c>
      <c r="K97" s="11" t="s">
        <v>46</v>
      </c>
      <c r="L97" s="11" t="s">
        <v>47</v>
      </c>
      <c r="M97" s="11" t="s">
        <v>48</v>
      </c>
      <c r="N97" s="11" t="s">
        <v>49</v>
      </c>
      <c r="O97" s="11" t="s">
        <v>50</v>
      </c>
      <c r="P97" s="11" t="s">
        <v>51</v>
      </c>
      <c r="Q97" s="11" t="s">
        <v>52</v>
      </c>
      <c r="R97" s="11" t="s">
        <v>53</v>
      </c>
      <c r="S97" s="11" t="s">
        <v>54</v>
      </c>
      <c r="T97" s="11" t="s">
        <v>55</v>
      </c>
      <c r="U97" s="11" t="s">
        <v>56</v>
      </c>
      <c r="V97" s="11" t="s">
        <v>57</v>
      </c>
      <c r="W97" s="11" t="s">
        <v>58</v>
      </c>
      <c r="X97" s="11" t="s">
        <v>59</v>
      </c>
      <c r="Y97" s="11" t="s">
        <v>60</v>
      </c>
      <c r="Z97" s="11" t="s">
        <v>61</v>
      </c>
      <c r="AA97" s="11" t="s">
        <v>62</v>
      </c>
      <c r="AB97" s="11" t="s">
        <v>63</v>
      </c>
      <c r="AC97" s="11" t="s">
        <v>64</v>
      </c>
      <c r="AD97" s="11" t="s">
        <v>65</v>
      </c>
      <c r="AE97" s="11" t="s">
        <v>66</v>
      </c>
      <c r="AF97" s="11" t="s">
        <v>67</v>
      </c>
      <c r="AG97" s="11" t="s">
        <v>68</v>
      </c>
      <c r="AH97" s="11" t="s">
        <v>69</v>
      </c>
      <c r="AI97" s="11" t="s">
        <v>70</v>
      </c>
      <c r="AJ97" s="11" t="s">
        <v>71</v>
      </c>
      <c r="AK97" s="11" t="s">
        <v>72</v>
      </c>
      <c r="AL97" s="11" t="s">
        <v>73</v>
      </c>
      <c r="AM97" s="11" t="s">
        <v>74</v>
      </c>
      <c r="AN97" s="25"/>
      <c r="AO97" s="25"/>
    </row>
    <row r="98" spans="2:41" x14ac:dyDescent="0.2">
      <c r="B98" s="22" t="str">
        <f>'Wzorzec kategorii'!B60</f>
        <v>Paliwo do auta</v>
      </c>
      <c r="C98" s="19">
        <v>0</v>
      </c>
      <c r="D98" s="20">
        <f>SUM(Tabela1942426[#This Row])</f>
        <v>0</v>
      </c>
      <c r="E98" s="20">
        <f t="shared" ref="E98:E107" si="7">C98-D98</f>
        <v>0</v>
      </c>
      <c r="F98" s="21" t="str">
        <f t="shared" ref="F98:F107" si="8">IFERROR(D98/C98,"")</f>
        <v/>
      </c>
      <c r="G98" s="24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25"/>
      <c r="AO98" s="25"/>
    </row>
    <row r="99" spans="2:41" x14ac:dyDescent="0.2">
      <c r="B99" s="22" t="str">
        <f>'Wzorzec kategorii'!B61</f>
        <v>Przeglądy i naprawy auta</v>
      </c>
      <c r="C99" s="19">
        <v>0</v>
      </c>
      <c r="D99" s="20">
        <f>SUM(Tabela1942426[#This Row])</f>
        <v>0</v>
      </c>
      <c r="E99" s="20">
        <f t="shared" si="7"/>
        <v>0</v>
      </c>
      <c r="F99" s="21" t="str">
        <f t="shared" si="8"/>
        <v/>
      </c>
      <c r="G99" s="2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25"/>
      <c r="AO99" s="25"/>
    </row>
    <row r="100" spans="2:41" ht="30" x14ac:dyDescent="0.2">
      <c r="B100" s="22" t="str">
        <f>'Wzorzec kategorii'!B62</f>
        <v>Wyposażenie dodatkowe (opony)</v>
      </c>
      <c r="C100" s="19">
        <v>0</v>
      </c>
      <c r="D100" s="20">
        <f>SUM(Tabela1942426[#This Row])</f>
        <v>0</v>
      </c>
      <c r="E100" s="20">
        <f t="shared" si="7"/>
        <v>0</v>
      </c>
      <c r="F100" s="21" t="str">
        <f t="shared" si="8"/>
        <v/>
      </c>
      <c r="G100" s="2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25"/>
      <c r="AO100" s="25"/>
    </row>
    <row r="101" spans="2:41" x14ac:dyDescent="0.2">
      <c r="B101" s="22" t="str">
        <f>'Wzorzec kategorii'!B63</f>
        <v>Ubezpieczenie auta</v>
      </c>
      <c r="C101" s="19">
        <v>0</v>
      </c>
      <c r="D101" s="20">
        <f>SUM(Tabela1942426[#This Row])</f>
        <v>0</v>
      </c>
      <c r="E101" s="20">
        <f t="shared" si="7"/>
        <v>0</v>
      </c>
      <c r="F101" s="21" t="str">
        <f t="shared" si="8"/>
        <v/>
      </c>
      <c r="G101" s="2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25"/>
      <c r="AO101" s="25"/>
    </row>
    <row r="102" spans="2:41" x14ac:dyDescent="0.2">
      <c r="B102" s="22" t="str">
        <f>'Wzorzec kategorii'!B64</f>
        <v>Bilet komunikacji miejskiej</v>
      </c>
      <c r="C102" s="19">
        <v>0</v>
      </c>
      <c r="D102" s="20">
        <f>SUM(Tabela1942426[#This Row])</f>
        <v>0</v>
      </c>
      <c r="E102" s="20">
        <f t="shared" si="7"/>
        <v>0</v>
      </c>
      <c r="F102" s="21" t="str">
        <f t="shared" si="8"/>
        <v/>
      </c>
      <c r="G102" s="2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25"/>
      <c r="AO102" s="25"/>
    </row>
    <row r="103" spans="2:41" x14ac:dyDescent="0.2">
      <c r="B103" s="22" t="str">
        <f>'Wzorzec kategorii'!B65</f>
        <v>Bilet PKP, PKS</v>
      </c>
      <c r="C103" s="19">
        <v>0</v>
      </c>
      <c r="D103" s="20">
        <f>SUM(Tabela1942426[#This Row])</f>
        <v>0</v>
      </c>
      <c r="E103" s="20">
        <f t="shared" si="7"/>
        <v>0</v>
      </c>
      <c r="F103" s="21" t="str">
        <f t="shared" si="8"/>
        <v/>
      </c>
      <c r="G103" s="24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25"/>
      <c r="AO103" s="25"/>
    </row>
    <row r="104" spans="2:41" x14ac:dyDescent="0.2">
      <c r="B104" s="22" t="str">
        <f>'Wzorzec kategorii'!B66</f>
        <v>Taxi</v>
      </c>
      <c r="C104" s="19">
        <v>0</v>
      </c>
      <c r="D104" s="20">
        <f>SUM(Tabela1942426[#This Row])</f>
        <v>0</v>
      </c>
      <c r="E104" s="20">
        <f t="shared" si="7"/>
        <v>0</v>
      </c>
      <c r="F104" s="21" t="str">
        <f t="shared" si="8"/>
        <v/>
      </c>
      <c r="G104" s="24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25"/>
      <c r="AO104" s="25"/>
    </row>
    <row r="105" spans="2:41" x14ac:dyDescent="0.2">
      <c r="B105" s="22" t="str">
        <f>'Wzorzec kategorii'!B67</f>
        <v>Inne</v>
      </c>
      <c r="C105" s="19">
        <v>0</v>
      </c>
      <c r="D105" s="20">
        <f>SUM(Tabela1942426[#This Row])</f>
        <v>0</v>
      </c>
      <c r="E105" s="20">
        <f t="shared" si="7"/>
        <v>0</v>
      </c>
      <c r="F105" s="21" t="str">
        <f t="shared" si="8"/>
        <v/>
      </c>
      <c r="G105" s="2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25"/>
      <c r="AO105" s="25"/>
    </row>
    <row r="106" spans="2:41" x14ac:dyDescent="0.2">
      <c r="B106" s="22" t="str">
        <f>'Wzorzec kategorii'!B68</f>
        <v>.</v>
      </c>
      <c r="C106" s="19">
        <v>0</v>
      </c>
      <c r="D106" s="20">
        <f>SUM(Tabela1942426[#This Row])</f>
        <v>0</v>
      </c>
      <c r="E106" s="20">
        <f t="shared" si="7"/>
        <v>0</v>
      </c>
      <c r="F106" s="53" t="str">
        <f t="shared" si="8"/>
        <v/>
      </c>
      <c r="G106" s="54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25"/>
      <c r="AO106" s="25"/>
    </row>
    <row r="107" spans="2:41" x14ac:dyDescent="0.2">
      <c r="B107" s="22" t="str">
        <f>'Wzorzec kategorii'!B69</f>
        <v>.</v>
      </c>
      <c r="C107" s="19">
        <v>0</v>
      </c>
      <c r="D107" s="20">
        <f>SUM(Tabela1942426[#This Row])</f>
        <v>0</v>
      </c>
      <c r="E107" s="20">
        <f t="shared" si="7"/>
        <v>0</v>
      </c>
      <c r="F107" s="53" t="str">
        <f t="shared" si="8"/>
        <v/>
      </c>
      <c r="G107" s="54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25"/>
      <c r="AO107" s="25"/>
    </row>
    <row r="108" spans="2:41" x14ac:dyDescent="0.2">
      <c r="B108" s="5" t="s">
        <v>30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</row>
    <row r="109" spans="2:41" x14ac:dyDescent="0.2">
      <c r="B109" s="2" t="str">
        <f>'Wzorzec kategorii'!B71</f>
        <v>Telekomunikacja</v>
      </c>
      <c r="C109" s="3">
        <f>SUM(Tabela832416[[#All],[Kolumna2]])</f>
        <v>0</v>
      </c>
      <c r="D109" s="16">
        <f>SUM(Tabela832416[[#All],[Kolumna3]])</f>
        <v>0</v>
      </c>
      <c r="E109" s="3">
        <f>C109-D109</f>
        <v>0</v>
      </c>
      <c r="F109" s="17" t="str">
        <f t="shared" ref="F109:F119" si="9">IFERROR(D109/C109,"")</f>
        <v/>
      </c>
      <c r="G109" s="3"/>
      <c r="I109" s="11" t="s">
        <v>44</v>
      </c>
      <c r="J109" s="11" t="s">
        <v>45</v>
      </c>
      <c r="K109" s="11" t="s">
        <v>46</v>
      </c>
      <c r="L109" s="11" t="s">
        <v>47</v>
      </c>
      <c r="M109" s="11" t="s">
        <v>48</v>
      </c>
      <c r="N109" s="11" t="s">
        <v>49</v>
      </c>
      <c r="O109" s="11" t="s">
        <v>50</v>
      </c>
      <c r="P109" s="11" t="s">
        <v>51</v>
      </c>
      <c r="Q109" s="11" t="s">
        <v>52</v>
      </c>
      <c r="R109" s="11" t="s">
        <v>53</v>
      </c>
      <c r="S109" s="11" t="s">
        <v>54</v>
      </c>
      <c r="T109" s="11" t="s">
        <v>55</v>
      </c>
      <c r="U109" s="11" t="s">
        <v>56</v>
      </c>
      <c r="V109" s="11" t="s">
        <v>57</v>
      </c>
      <c r="W109" s="11" t="s">
        <v>58</v>
      </c>
      <c r="X109" s="11" t="s">
        <v>59</v>
      </c>
      <c r="Y109" s="11" t="s">
        <v>60</v>
      </c>
      <c r="Z109" s="11" t="s">
        <v>61</v>
      </c>
      <c r="AA109" s="11" t="s">
        <v>62</v>
      </c>
      <c r="AB109" s="11" t="s">
        <v>63</v>
      </c>
      <c r="AC109" s="11" t="s">
        <v>64</v>
      </c>
      <c r="AD109" s="11" t="s">
        <v>65</v>
      </c>
      <c r="AE109" s="11" t="s">
        <v>66</v>
      </c>
      <c r="AF109" s="11" t="s">
        <v>67</v>
      </c>
      <c r="AG109" s="11" t="s">
        <v>68</v>
      </c>
      <c r="AH109" s="11" t="s">
        <v>69</v>
      </c>
      <c r="AI109" s="11" t="s">
        <v>70</v>
      </c>
      <c r="AJ109" s="11" t="s">
        <v>71</v>
      </c>
      <c r="AK109" s="11" t="s">
        <v>72</v>
      </c>
      <c r="AL109" s="11" t="s">
        <v>73</v>
      </c>
      <c r="AM109" s="11" t="s">
        <v>74</v>
      </c>
      <c r="AN109" s="25"/>
      <c r="AO109" s="25"/>
    </row>
    <row r="110" spans="2:41" x14ac:dyDescent="0.2">
      <c r="B110" s="22" t="str">
        <f>'Wzorzec kategorii'!B72</f>
        <v>Telefon 1</v>
      </c>
      <c r="C110" s="19">
        <v>0</v>
      </c>
      <c r="D110" s="20">
        <f>SUM(Tabela192143427[#This Row])</f>
        <v>0</v>
      </c>
      <c r="E110" s="20">
        <f t="shared" ref="E110:E119" si="10">C110-D110</f>
        <v>0</v>
      </c>
      <c r="F110" s="21" t="str">
        <f t="shared" si="9"/>
        <v/>
      </c>
      <c r="G110" s="24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25"/>
      <c r="AO110" s="25"/>
    </row>
    <row r="111" spans="2:41" x14ac:dyDescent="0.2">
      <c r="B111" s="22" t="str">
        <f>'Wzorzec kategorii'!B73</f>
        <v>Telefon 2</v>
      </c>
      <c r="C111" s="19">
        <v>0</v>
      </c>
      <c r="D111" s="20">
        <f>SUM(Tabela192143427[#This Row])</f>
        <v>0</v>
      </c>
      <c r="E111" s="20">
        <f t="shared" si="10"/>
        <v>0</v>
      </c>
      <c r="F111" s="21" t="str">
        <f t="shared" si="9"/>
        <v/>
      </c>
      <c r="G111" s="24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25"/>
      <c r="AO111" s="25"/>
    </row>
    <row r="112" spans="2:41" x14ac:dyDescent="0.2">
      <c r="B112" s="22" t="str">
        <f>'Wzorzec kategorii'!B74</f>
        <v>TV</v>
      </c>
      <c r="C112" s="19">
        <v>0</v>
      </c>
      <c r="D112" s="20">
        <f>SUM(Tabela192143427[#This Row])</f>
        <v>0</v>
      </c>
      <c r="E112" s="20">
        <f t="shared" si="10"/>
        <v>0</v>
      </c>
      <c r="F112" s="21" t="str">
        <f t="shared" si="9"/>
        <v/>
      </c>
      <c r="G112" s="2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5"/>
      <c r="AO112" s="25"/>
    </row>
    <row r="113" spans="2:41" x14ac:dyDescent="0.2">
      <c r="B113" s="22" t="str">
        <f>'Wzorzec kategorii'!B75</f>
        <v>Internet</v>
      </c>
      <c r="C113" s="19">
        <v>0</v>
      </c>
      <c r="D113" s="20">
        <f>SUM(Tabela192143427[#This Row])</f>
        <v>0</v>
      </c>
      <c r="E113" s="20">
        <f t="shared" si="10"/>
        <v>0</v>
      </c>
      <c r="F113" s="21" t="str">
        <f t="shared" si="9"/>
        <v/>
      </c>
      <c r="G113" s="2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25"/>
      <c r="AO113" s="25"/>
    </row>
    <row r="114" spans="2:41" x14ac:dyDescent="0.2">
      <c r="B114" s="22" t="str">
        <f>'Wzorzec kategorii'!B76</f>
        <v>Inne</v>
      </c>
      <c r="C114" s="19">
        <v>0</v>
      </c>
      <c r="D114" s="20">
        <f>SUM(Tabela192143427[#This Row])</f>
        <v>0</v>
      </c>
      <c r="E114" s="20">
        <f t="shared" si="10"/>
        <v>0</v>
      </c>
      <c r="F114" s="21" t="str">
        <f t="shared" si="9"/>
        <v/>
      </c>
      <c r="G114" s="2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25"/>
      <c r="AO114" s="25"/>
    </row>
    <row r="115" spans="2:41" x14ac:dyDescent="0.2">
      <c r="B115" s="22" t="str">
        <f>'Wzorzec kategorii'!B77</f>
        <v>.</v>
      </c>
      <c r="C115" s="19">
        <v>0</v>
      </c>
      <c r="D115" s="20">
        <f>SUM(Tabela192143427[#This Row])</f>
        <v>0</v>
      </c>
      <c r="E115" s="20">
        <f t="shared" si="10"/>
        <v>0</v>
      </c>
      <c r="F115" s="53" t="str">
        <f t="shared" si="9"/>
        <v/>
      </c>
      <c r="G115" s="54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25"/>
      <c r="AO115" s="25"/>
    </row>
    <row r="116" spans="2:41" x14ac:dyDescent="0.2">
      <c r="B116" s="22" t="str">
        <f>'Wzorzec kategorii'!B78</f>
        <v>.</v>
      </c>
      <c r="C116" s="19">
        <v>0</v>
      </c>
      <c r="D116" s="20">
        <f>SUM(Tabela192143427[#This Row])</f>
        <v>0</v>
      </c>
      <c r="E116" s="20">
        <f t="shared" si="10"/>
        <v>0</v>
      </c>
      <c r="F116" s="53" t="str">
        <f t="shared" si="9"/>
        <v/>
      </c>
      <c r="G116" s="54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25"/>
      <c r="AO116" s="25"/>
    </row>
    <row r="117" spans="2:41" x14ac:dyDescent="0.2">
      <c r="B117" s="22" t="str">
        <f>'Wzorzec kategorii'!B79</f>
        <v>.</v>
      </c>
      <c r="C117" s="19">
        <v>0</v>
      </c>
      <c r="D117" s="20">
        <f>SUM(Tabela192143427[#This Row])</f>
        <v>0</v>
      </c>
      <c r="E117" s="20">
        <f t="shared" si="10"/>
        <v>0</v>
      </c>
      <c r="F117" s="53" t="str">
        <f t="shared" si="9"/>
        <v/>
      </c>
      <c r="G117" s="54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25"/>
      <c r="AO117" s="25"/>
    </row>
    <row r="118" spans="2:41" x14ac:dyDescent="0.2">
      <c r="B118" s="22" t="str">
        <f>'Wzorzec kategorii'!B80</f>
        <v>.</v>
      </c>
      <c r="C118" s="19">
        <v>0</v>
      </c>
      <c r="D118" s="20">
        <f>SUM(Tabela192143427[#This Row])</f>
        <v>0</v>
      </c>
      <c r="E118" s="20">
        <f t="shared" si="10"/>
        <v>0</v>
      </c>
      <c r="F118" s="53" t="str">
        <f t="shared" si="9"/>
        <v/>
      </c>
      <c r="G118" s="54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25"/>
      <c r="AO118" s="25"/>
    </row>
    <row r="119" spans="2:41" x14ac:dyDescent="0.2">
      <c r="B119" s="22" t="str">
        <f>'Wzorzec kategorii'!B81</f>
        <v>.</v>
      </c>
      <c r="C119" s="19">
        <v>0</v>
      </c>
      <c r="D119" s="20">
        <f>SUM(Tabela192143427[#This Row])</f>
        <v>0</v>
      </c>
      <c r="E119" s="20">
        <f t="shared" si="10"/>
        <v>0</v>
      </c>
      <c r="F119" s="53" t="str">
        <f t="shared" si="9"/>
        <v/>
      </c>
      <c r="G119" s="54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25"/>
      <c r="AO119" s="25"/>
    </row>
    <row r="120" spans="2:41" x14ac:dyDescent="0.2"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</row>
    <row r="121" spans="2:41" x14ac:dyDescent="0.2">
      <c r="B121" s="2" t="str">
        <f>'Wzorzec kategorii'!B83</f>
        <v>Opieka zdrowotna</v>
      </c>
      <c r="C121" s="3">
        <f>SUM(Tabela933417[[#All],[Kolumna2]])</f>
        <v>0</v>
      </c>
      <c r="D121" s="16">
        <f>SUM(Tabela933417[[#All],[Kolumna3]])</f>
        <v>0</v>
      </c>
      <c r="E121" s="3">
        <f>C121-D121</f>
        <v>0</v>
      </c>
      <c r="F121" s="17" t="str">
        <f>IFERROR(D121/C121,"")</f>
        <v/>
      </c>
      <c r="G121" s="3"/>
      <c r="I121" s="11" t="s">
        <v>44</v>
      </c>
      <c r="J121" s="11" t="s">
        <v>45</v>
      </c>
      <c r="K121" s="11" t="s">
        <v>46</v>
      </c>
      <c r="L121" s="11" t="s">
        <v>47</v>
      </c>
      <c r="M121" s="11" t="s">
        <v>48</v>
      </c>
      <c r="N121" s="11" t="s">
        <v>49</v>
      </c>
      <c r="O121" s="11" t="s">
        <v>50</v>
      </c>
      <c r="P121" s="11" t="s">
        <v>51</v>
      </c>
      <c r="Q121" s="11" t="s">
        <v>52</v>
      </c>
      <c r="R121" s="11" t="s">
        <v>53</v>
      </c>
      <c r="S121" s="11" t="s">
        <v>54</v>
      </c>
      <c r="T121" s="11" t="s">
        <v>55</v>
      </c>
      <c r="U121" s="11" t="s">
        <v>56</v>
      </c>
      <c r="V121" s="11" t="s">
        <v>57</v>
      </c>
      <c r="W121" s="11" t="s">
        <v>58</v>
      </c>
      <c r="X121" s="11" t="s">
        <v>59</v>
      </c>
      <c r="Y121" s="11" t="s">
        <v>60</v>
      </c>
      <c r="Z121" s="11" t="s">
        <v>61</v>
      </c>
      <c r="AA121" s="11" t="s">
        <v>62</v>
      </c>
      <c r="AB121" s="11" t="s">
        <v>63</v>
      </c>
      <c r="AC121" s="11" t="s">
        <v>64</v>
      </c>
      <c r="AD121" s="11" t="s">
        <v>65</v>
      </c>
      <c r="AE121" s="11" t="s">
        <v>66</v>
      </c>
      <c r="AF121" s="11" t="s">
        <v>67</v>
      </c>
      <c r="AG121" s="11" t="s">
        <v>68</v>
      </c>
      <c r="AH121" s="11" t="s">
        <v>69</v>
      </c>
      <c r="AI121" s="11" t="s">
        <v>70</v>
      </c>
      <c r="AJ121" s="11" t="s">
        <v>71</v>
      </c>
      <c r="AK121" s="11" t="s">
        <v>72</v>
      </c>
      <c r="AL121" s="11" t="s">
        <v>73</v>
      </c>
      <c r="AM121" s="11" t="s">
        <v>74</v>
      </c>
      <c r="AN121" s="25"/>
      <c r="AO121" s="25"/>
    </row>
    <row r="122" spans="2:41" x14ac:dyDescent="0.2">
      <c r="B122" s="22" t="str">
        <f>'Wzorzec kategorii'!B84</f>
        <v>Lekarz</v>
      </c>
      <c r="C122" s="19">
        <v>0</v>
      </c>
      <c r="D122" s="20">
        <f>SUM(Tabela19212547431[#This Row])</f>
        <v>0</v>
      </c>
      <c r="E122" s="20">
        <f t="shared" ref="E122:E131" si="11">C122-D122</f>
        <v>0</v>
      </c>
      <c r="F122" s="21" t="str">
        <f>IFERROR(D122/C122,"")</f>
        <v/>
      </c>
      <c r="G122" s="2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25"/>
      <c r="AO122" s="25"/>
    </row>
    <row r="123" spans="2:41" x14ac:dyDescent="0.2">
      <c r="B123" s="22" t="str">
        <f>'Wzorzec kategorii'!B85</f>
        <v>Badania</v>
      </c>
      <c r="C123" s="19">
        <v>0</v>
      </c>
      <c r="D123" s="20">
        <f>SUM(Tabela19212547431[#This Row])</f>
        <v>0</v>
      </c>
      <c r="E123" s="20">
        <f t="shared" si="11"/>
        <v>0</v>
      </c>
      <c r="F123" s="21" t="str">
        <f>IFERROR(D123/C123,"")</f>
        <v/>
      </c>
      <c r="G123" s="2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25"/>
      <c r="AO123" s="25"/>
    </row>
    <row r="124" spans="2:41" x14ac:dyDescent="0.2">
      <c r="B124" s="22" t="str">
        <f>'Wzorzec kategorii'!B86</f>
        <v>Lekarstwa</v>
      </c>
      <c r="C124" s="19">
        <v>0</v>
      </c>
      <c r="D124" s="20">
        <f>SUM(Tabela19212547431[#This Row])</f>
        <v>0</v>
      </c>
      <c r="E124" s="20">
        <f t="shared" si="11"/>
        <v>0</v>
      </c>
      <c r="F124" s="21" t="str">
        <f>IFERROR(D124/C124,"")</f>
        <v/>
      </c>
      <c r="G124" s="2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25"/>
      <c r="AO124" s="25"/>
    </row>
    <row r="125" spans="2:41" x14ac:dyDescent="0.2">
      <c r="B125" s="22" t="str">
        <f>'Wzorzec kategorii'!B87</f>
        <v>Inne</v>
      </c>
      <c r="C125" s="19">
        <v>0</v>
      </c>
      <c r="D125" s="20">
        <f>SUM(Tabela19212547431[#This Row])</f>
        <v>0</v>
      </c>
      <c r="E125" s="20">
        <f t="shared" si="11"/>
        <v>0</v>
      </c>
      <c r="F125" s="21" t="str">
        <f>IFERROR(D125/C125,"")</f>
        <v/>
      </c>
      <c r="G125" s="24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25"/>
      <c r="AO125" s="25"/>
    </row>
    <row r="126" spans="2:41" x14ac:dyDescent="0.2">
      <c r="B126" s="50" t="str">
        <f>'Wzorzec kategorii'!B88</f>
        <v>.</v>
      </c>
      <c r="C126" s="19">
        <v>0</v>
      </c>
      <c r="D126" s="20">
        <f>SUM(Tabela19212547431[#This Row])</f>
        <v>0</v>
      </c>
      <c r="E126" s="20">
        <f t="shared" si="11"/>
        <v>0</v>
      </c>
      <c r="F126" s="53" t="str">
        <f t="shared" ref="F126:F131" si="12">IFERROR(D126/C126,"")</f>
        <v/>
      </c>
      <c r="G126" s="54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25"/>
      <c r="AO126" s="25"/>
    </row>
    <row r="127" spans="2:41" x14ac:dyDescent="0.2">
      <c r="B127" s="50" t="str">
        <f>'Wzorzec kategorii'!B89</f>
        <v>.</v>
      </c>
      <c r="C127" s="19">
        <v>0</v>
      </c>
      <c r="D127" s="20">
        <f>SUM(Tabela19212547431[#This Row])</f>
        <v>0</v>
      </c>
      <c r="E127" s="20">
        <f t="shared" si="11"/>
        <v>0</v>
      </c>
      <c r="F127" s="53" t="str">
        <f t="shared" si="12"/>
        <v/>
      </c>
      <c r="G127" s="54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25"/>
      <c r="AO127" s="25"/>
    </row>
    <row r="128" spans="2:41" x14ac:dyDescent="0.2">
      <c r="B128" s="50" t="str">
        <f>'Wzorzec kategorii'!B90</f>
        <v>.</v>
      </c>
      <c r="C128" s="19">
        <v>0</v>
      </c>
      <c r="D128" s="20">
        <f>SUM(Tabela19212547431[#This Row])</f>
        <v>0</v>
      </c>
      <c r="E128" s="20">
        <f t="shared" si="11"/>
        <v>0</v>
      </c>
      <c r="F128" s="53" t="str">
        <f t="shared" si="12"/>
        <v/>
      </c>
      <c r="G128" s="54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25"/>
      <c r="AO128" s="25"/>
    </row>
    <row r="129" spans="2:41" x14ac:dyDescent="0.2">
      <c r="B129" s="50" t="str">
        <f>'Wzorzec kategorii'!B91</f>
        <v>.</v>
      </c>
      <c r="C129" s="19">
        <v>0</v>
      </c>
      <c r="D129" s="20">
        <f>SUM(Tabela19212547431[#This Row])</f>
        <v>0</v>
      </c>
      <c r="E129" s="20">
        <f t="shared" si="11"/>
        <v>0</v>
      </c>
      <c r="F129" s="53" t="str">
        <f t="shared" si="12"/>
        <v/>
      </c>
      <c r="G129" s="54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25"/>
      <c r="AO129" s="25"/>
    </row>
    <row r="130" spans="2:41" x14ac:dyDescent="0.2">
      <c r="B130" s="50" t="str">
        <f>'Wzorzec kategorii'!B92</f>
        <v>.</v>
      </c>
      <c r="C130" s="19">
        <v>0</v>
      </c>
      <c r="D130" s="20">
        <f>SUM(Tabela19212547431[#This Row])</f>
        <v>0</v>
      </c>
      <c r="E130" s="20">
        <f t="shared" si="11"/>
        <v>0</v>
      </c>
      <c r="F130" s="53" t="str">
        <f t="shared" si="12"/>
        <v/>
      </c>
      <c r="G130" s="54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25"/>
      <c r="AO130" s="25"/>
    </row>
    <row r="131" spans="2:41" x14ac:dyDescent="0.2">
      <c r="B131" s="50" t="str">
        <f>'Wzorzec kategorii'!B93</f>
        <v>.</v>
      </c>
      <c r="C131" s="19">
        <v>0</v>
      </c>
      <c r="D131" s="20">
        <f>SUM(Tabela19212547431[#This Row])</f>
        <v>0</v>
      </c>
      <c r="E131" s="20">
        <f t="shared" si="11"/>
        <v>0</v>
      </c>
      <c r="F131" s="53" t="str">
        <f t="shared" si="12"/>
        <v/>
      </c>
      <c r="G131" s="54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25"/>
      <c r="AO131" s="25"/>
    </row>
    <row r="132" spans="2:41" x14ac:dyDescent="0.2">
      <c r="B132" s="13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</row>
    <row r="133" spans="2:41" x14ac:dyDescent="0.2">
      <c r="B133" s="2" t="str">
        <f>'Wzorzec kategorii'!B95</f>
        <v>Ubranie</v>
      </c>
      <c r="C133" s="3">
        <f>SUM(Tabela1034418[[#All],[Kolumna2]])</f>
        <v>0</v>
      </c>
      <c r="D133" s="16">
        <f>SUM(Tabela1034418[[#All],[Kolumna3]])</f>
        <v>0</v>
      </c>
      <c r="E133" s="3">
        <f>C133-D133</f>
        <v>0</v>
      </c>
      <c r="F133" s="17" t="str">
        <f t="shared" ref="F133:F143" si="13">IFERROR(D133/C133,"")</f>
        <v/>
      </c>
      <c r="G133" s="3"/>
      <c r="I133" s="11" t="s">
        <v>44</v>
      </c>
      <c r="J133" s="11" t="s">
        <v>45</v>
      </c>
      <c r="K133" s="11" t="s">
        <v>46</v>
      </c>
      <c r="L133" s="11" t="s">
        <v>47</v>
      </c>
      <c r="M133" s="11" t="s">
        <v>48</v>
      </c>
      <c r="N133" s="11" t="s">
        <v>49</v>
      </c>
      <c r="O133" s="11" t="s">
        <v>50</v>
      </c>
      <c r="P133" s="11" t="s">
        <v>51</v>
      </c>
      <c r="Q133" s="11" t="s">
        <v>52</v>
      </c>
      <c r="R133" s="11" t="s">
        <v>53</v>
      </c>
      <c r="S133" s="11" t="s">
        <v>54</v>
      </c>
      <c r="T133" s="11" t="s">
        <v>55</v>
      </c>
      <c r="U133" s="11" t="s">
        <v>56</v>
      </c>
      <c r="V133" s="11" t="s">
        <v>57</v>
      </c>
      <c r="W133" s="11" t="s">
        <v>58</v>
      </c>
      <c r="X133" s="11" t="s">
        <v>59</v>
      </c>
      <c r="Y133" s="11" t="s">
        <v>60</v>
      </c>
      <c r="Z133" s="11" t="s">
        <v>61</v>
      </c>
      <c r="AA133" s="11" t="s">
        <v>62</v>
      </c>
      <c r="AB133" s="11" t="s">
        <v>63</v>
      </c>
      <c r="AC133" s="11" t="s">
        <v>64</v>
      </c>
      <c r="AD133" s="11" t="s">
        <v>65</v>
      </c>
      <c r="AE133" s="11" t="s">
        <v>66</v>
      </c>
      <c r="AF133" s="11" t="s">
        <v>67</v>
      </c>
      <c r="AG133" s="11" t="s">
        <v>68</v>
      </c>
      <c r="AH133" s="11" t="s">
        <v>69</v>
      </c>
      <c r="AI133" s="11" t="s">
        <v>70</v>
      </c>
      <c r="AJ133" s="11" t="s">
        <v>71</v>
      </c>
      <c r="AK133" s="11" t="s">
        <v>72</v>
      </c>
      <c r="AL133" s="11" t="s">
        <v>73</v>
      </c>
      <c r="AM133" s="11" t="s">
        <v>74</v>
      </c>
      <c r="AN133" s="25"/>
      <c r="AO133" s="25"/>
    </row>
    <row r="134" spans="2:41" x14ac:dyDescent="0.2">
      <c r="B134" s="22" t="str">
        <f>'Wzorzec kategorii'!B96</f>
        <v>Ubranie zwykłe</v>
      </c>
      <c r="C134" s="19">
        <v>0</v>
      </c>
      <c r="D134" s="20">
        <f>SUM(Tabela19212446430[#This Row])</f>
        <v>0</v>
      </c>
      <c r="E134" s="20">
        <f t="shared" ref="E134:E143" si="14">C134-D134</f>
        <v>0</v>
      </c>
      <c r="F134" s="21" t="str">
        <f t="shared" si="13"/>
        <v/>
      </c>
      <c r="G134" s="2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25"/>
      <c r="AO134" s="25"/>
    </row>
    <row r="135" spans="2:41" x14ac:dyDescent="0.2">
      <c r="B135" s="22" t="str">
        <f>'Wzorzec kategorii'!B97</f>
        <v>Ubranie sportowe</v>
      </c>
      <c r="C135" s="19">
        <v>0</v>
      </c>
      <c r="D135" s="20">
        <f>SUM(Tabela19212446430[#This Row])</f>
        <v>0</v>
      </c>
      <c r="E135" s="20">
        <f t="shared" si="14"/>
        <v>0</v>
      </c>
      <c r="F135" s="21" t="str">
        <f t="shared" si="13"/>
        <v/>
      </c>
      <c r="G135" s="24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25"/>
      <c r="AO135" s="25"/>
    </row>
    <row r="136" spans="2:41" x14ac:dyDescent="0.2">
      <c r="B136" s="22" t="str">
        <f>'Wzorzec kategorii'!B98</f>
        <v>Buty</v>
      </c>
      <c r="C136" s="19">
        <v>0</v>
      </c>
      <c r="D136" s="20">
        <f>SUM(Tabela19212446430[#This Row])</f>
        <v>0</v>
      </c>
      <c r="E136" s="20">
        <f t="shared" si="14"/>
        <v>0</v>
      </c>
      <c r="F136" s="21" t="str">
        <f t="shared" si="13"/>
        <v/>
      </c>
      <c r="G136" s="24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25"/>
      <c r="AO136" s="25"/>
    </row>
    <row r="137" spans="2:41" x14ac:dyDescent="0.2">
      <c r="B137" s="22" t="str">
        <f>'Wzorzec kategorii'!B99</f>
        <v>Dodatki</v>
      </c>
      <c r="C137" s="19">
        <v>0</v>
      </c>
      <c r="D137" s="20">
        <f>SUM(Tabela19212446430[#This Row])</f>
        <v>0</v>
      </c>
      <c r="E137" s="20">
        <f t="shared" si="14"/>
        <v>0</v>
      </c>
      <c r="F137" s="21" t="str">
        <f t="shared" si="13"/>
        <v/>
      </c>
      <c r="G137" s="2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25"/>
      <c r="AO137" s="25"/>
    </row>
    <row r="138" spans="2:41" x14ac:dyDescent="0.2">
      <c r="B138" s="22" t="str">
        <f>'Wzorzec kategorii'!B100</f>
        <v>Inne</v>
      </c>
      <c r="C138" s="19">
        <v>0</v>
      </c>
      <c r="D138" s="20">
        <f>SUM(Tabela19212446430[#This Row])</f>
        <v>0</v>
      </c>
      <c r="E138" s="20">
        <f t="shared" si="14"/>
        <v>0</v>
      </c>
      <c r="F138" s="21" t="str">
        <f t="shared" si="13"/>
        <v/>
      </c>
      <c r="G138" s="2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25"/>
      <c r="AO138" s="25"/>
    </row>
    <row r="139" spans="2:41" x14ac:dyDescent="0.2">
      <c r="B139" s="50" t="str">
        <f>'Wzorzec kategorii'!B101</f>
        <v>.</v>
      </c>
      <c r="C139" s="19">
        <v>0</v>
      </c>
      <c r="D139" s="20">
        <f>SUM(Tabela19212446430[#This Row])</f>
        <v>0</v>
      </c>
      <c r="E139" s="20">
        <f t="shared" si="14"/>
        <v>0</v>
      </c>
      <c r="F139" s="53" t="str">
        <f t="shared" si="13"/>
        <v/>
      </c>
      <c r="G139" s="54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25"/>
      <c r="AO139" s="25"/>
    </row>
    <row r="140" spans="2:41" x14ac:dyDescent="0.2">
      <c r="B140" s="50" t="str">
        <f>'Wzorzec kategorii'!B102</f>
        <v>.</v>
      </c>
      <c r="C140" s="19">
        <v>0</v>
      </c>
      <c r="D140" s="20">
        <f>SUM(Tabela19212446430[#This Row])</f>
        <v>0</v>
      </c>
      <c r="E140" s="20">
        <f t="shared" si="14"/>
        <v>0</v>
      </c>
      <c r="F140" s="53" t="str">
        <f t="shared" si="13"/>
        <v/>
      </c>
      <c r="G140" s="54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25"/>
      <c r="AO140" s="25"/>
    </row>
    <row r="141" spans="2:41" x14ac:dyDescent="0.2">
      <c r="B141" s="50" t="str">
        <f>'Wzorzec kategorii'!B103</f>
        <v>.</v>
      </c>
      <c r="C141" s="19">
        <v>0</v>
      </c>
      <c r="D141" s="20">
        <f>SUM(Tabela19212446430[#This Row])</f>
        <v>0</v>
      </c>
      <c r="E141" s="20">
        <f t="shared" si="14"/>
        <v>0</v>
      </c>
      <c r="F141" s="53" t="str">
        <f t="shared" si="13"/>
        <v/>
      </c>
      <c r="G141" s="54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25"/>
      <c r="AO141" s="25"/>
    </row>
    <row r="142" spans="2:41" x14ac:dyDescent="0.2">
      <c r="B142" s="50" t="str">
        <f>'Wzorzec kategorii'!B104</f>
        <v>.</v>
      </c>
      <c r="C142" s="19">
        <v>0</v>
      </c>
      <c r="D142" s="20">
        <f>SUM(Tabela19212446430[#This Row])</f>
        <v>0</v>
      </c>
      <c r="E142" s="20">
        <f t="shared" si="14"/>
        <v>0</v>
      </c>
      <c r="F142" s="53" t="str">
        <f t="shared" si="13"/>
        <v/>
      </c>
      <c r="G142" s="54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25"/>
      <c r="AO142" s="25"/>
    </row>
    <row r="143" spans="2:41" x14ac:dyDescent="0.2">
      <c r="B143" s="50" t="str">
        <f>'Wzorzec kategorii'!B105</f>
        <v>.</v>
      </c>
      <c r="C143" s="19">
        <v>0</v>
      </c>
      <c r="D143" s="20">
        <f>SUM(Tabela19212446430[#This Row])</f>
        <v>0</v>
      </c>
      <c r="E143" s="20">
        <f t="shared" si="14"/>
        <v>0</v>
      </c>
      <c r="F143" s="53" t="str">
        <f t="shared" si="13"/>
        <v/>
      </c>
      <c r="G143" s="54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25"/>
      <c r="AO143" s="25"/>
    </row>
    <row r="144" spans="2:41" x14ac:dyDescent="0.2">
      <c r="B144" s="5" t="s">
        <v>30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</row>
    <row r="145" spans="2:41" x14ac:dyDescent="0.2">
      <c r="B145" s="2" t="str">
        <f>'Wzorzec kategorii'!B107</f>
        <v>Higiena</v>
      </c>
      <c r="C145" s="3">
        <f>SUM(Tabela1135419[[#All],[Kolumna2]])</f>
        <v>0</v>
      </c>
      <c r="D145" s="16">
        <f>SUM(Tabela1135419[[#All],[Kolumna3]])</f>
        <v>0</v>
      </c>
      <c r="E145" s="3">
        <f>C145-D145</f>
        <v>0</v>
      </c>
      <c r="F145" s="17" t="str">
        <f t="shared" ref="F145:F155" si="15">IFERROR(D145/C145,"")</f>
        <v/>
      </c>
      <c r="G145" s="3"/>
      <c r="I145" s="11" t="s">
        <v>44</v>
      </c>
      <c r="J145" s="11" t="s">
        <v>45</v>
      </c>
      <c r="K145" s="11" t="s">
        <v>46</v>
      </c>
      <c r="L145" s="11" t="s">
        <v>47</v>
      </c>
      <c r="M145" s="11" t="s">
        <v>48</v>
      </c>
      <c r="N145" s="11" t="s">
        <v>49</v>
      </c>
      <c r="O145" s="11" t="s">
        <v>50</v>
      </c>
      <c r="P145" s="11" t="s">
        <v>51</v>
      </c>
      <c r="Q145" s="11" t="s">
        <v>52</v>
      </c>
      <c r="R145" s="11" t="s">
        <v>53</v>
      </c>
      <c r="S145" s="11" t="s">
        <v>54</v>
      </c>
      <c r="T145" s="11" t="s">
        <v>55</v>
      </c>
      <c r="U145" s="11" t="s">
        <v>56</v>
      </c>
      <c r="V145" s="11" t="s">
        <v>57</v>
      </c>
      <c r="W145" s="11" t="s">
        <v>58</v>
      </c>
      <c r="X145" s="11" t="s">
        <v>59</v>
      </c>
      <c r="Y145" s="11" t="s">
        <v>60</v>
      </c>
      <c r="Z145" s="11" t="s">
        <v>61</v>
      </c>
      <c r="AA145" s="11" t="s">
        <v>62</v>
      </c>
      <c r="AB145" s="11" t="s">
        <v>63</v>
      </c>
      <c r="AC145" s="11" t="s">
        <v>64</v>
      </c>
      <c r="AD145" s="11" t="s">
        <v>65</v>
      </c>
      <c r="AE145" s="11" t="s">
        <v>66</v>
      </c>
      <c r="AF145" s="11" t="s">
        <v>67</v>
      </c>
      <c r="AG145" s="11" t="s">
        <v>68</v>
      </c>
      <c r="AH145" s="11" t="s">
        <v>69</v>
      </c>
      <c r="AI145" s="11" t="s">
        <v>70</v>
      </c>
      <c r="AJ145" s="11" t="s">
        <v>71</v>
      </c>
      <c r="AK145" s="11" t="s">
        <v>72</v>
      </c>
      <c r="AL145" s="11" t="s">
        <v>73</v>
      </c>
      <c r="AM145" s="11" t="s">
        <v>74</v>
      </c>
      <c r="AN145" s="25"/>
      <c r="AO145" s="25"/>
    </row>
    <row r="146" spans="2:41" x14ac:dyDescent="0.2">
      <c r="B146" s="22" t="str">
        <f>'Wzorzec kategorii'!B108</f>
        <v>Kosmetyki</v>
      </c>
      <c r="C146" s="19">
        <v>0</v>
      </c>
      <c r="D146" s="20">
        <f>SUM(Tabela192244428[#This Row])</f>
        <v>0</v>
      </c>
      <c r="E146" s="20">
        <f t="shared" ref="E146:E155" si="16">C146-D146</f>
        <v>0</v>
      </c>
      <c r="F146" s="21" t="str">
        <f t="shared" si="15"/>
        <v/>
      </c>
      <c r="G146" s="24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25"/>
      <c r="AO146" s="25"/>
    </row>
    <row r="147" spans="2:41" x14ac:dyDescent="0.2">
      <c r="B147" s="22" t="str">
        <f>'Wzorzec kategorii'!B109</f>
        <v>Środki czystości (chemia)</v>
      </c>
      <c r="C147" s="19">
        <v>0</v>
      </c>
      <c r="D147" s="20">
        <f>SUM(Tabela192244428[#This Row])</f>
        <v>0</v>
      </c>
      <c r="E147" s="20">
        <f t="shared" si="16"/>
        <v>0</v>
      </c>
      <c r="F147" s="21" t="str">
        <f t="shared" si="15"/>
        <v/>
      </c>
      <c r="G147" s="2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25"/>
      <c r="AO147" s="25"/>
    </row>
    <row r="148" spans="2:41" x14ac:dyDescent="0.2">
      <c r="B148" s="22" t="str">
        <f>'Wzorzec kategorii'!B110</f>
        <v>Fryzjer</v>
      </c>
      <c r="C148" s="19">
        <v>0</v>
      </c>
      <c r="D148" s="20">
        <f>SUM(Tabela192244428[#This Row])</f>
        <v>0</v>
      </c>
      <c r="E148" s="20">
        <f t="shared" si="16"/>
        <v>0</v>
      </c>
      <c r="F148" s="21" t="str">
        <f t="shared" si="15"/>
        <v/>
      </c>
      <c r="G148" s="2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25"/>
      <c r="AO148" s="25"/>
    </row>
    <row r="149" spans="2:41" x14ac:dyDescent="0.2">
      <c r="B149" s="22" t="str">
        <f>'Wzorzec kategorii'!B111</f>
        <v>Kosmetyczka</v>
      </c>
      <c r="C149" s="19">
        <v>0</v>
      </c>
      <c r="D149" s="20">
        <f>SUM(Tabela192244428[#This Row])</f>
        <v>0</v>
      </c>
      <c r="E149" s="20">
        <f t="shared" si="16"/>
        <v>0</v>
      </c>
      <c r="F149" s="21" t="str">
        <f t="shared" si="15"/>
        <v/>
      </c>
      <c r="G149" s="2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25"/>
      <c r="AO149" s="25"/>
    </row>
    <row r="150" spans="2:41" x14ac:dyDescent="0.2">
      <c r="B150" s="22" t="str">
        <f>'Wzorzec kategorii'!B112</f>
        <v>Inne</v>
      </c>
      <c r="C150" s="19">
        <v>0</v>
      </c>
      <c r="D150" s="20">
        <f>SUM(Tabela192244428[#This Row])</f>
        <v>0</v>
      </c>
      <c r="E150" s="20">
        <f t="shared" si="16"/>
        <v>0</v>
      </c>
      <c r="F150" s="21" t="str">
        <f t="shared" si="15"/>
        <v/>
      </c>
      <c r="G150" s="2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25"/>
      <c r="AO150" s="25"/>
    </row>
    <row r="151" spans="2:41" x14ac:dyDescent="0.2">
      <c r="B151" s="22" t="str">
        <f>'Wzorzec kategorii'!B113</f>
        <v>.</v>
      </c>
      <c r="C151" s="19">
        <v>0</v>
      </c>
      <c r="D151" s="20">
        <f>SUM(Tabela192244428[#This Row])</f>
        <v>0</v>
      </c>
      <c r="E151" s="20">
        <f t="shared" si="16"/>
        <v>0</v>
      </c>
      <c r="F151" s="53" t="str">
        <f t="shared" si="15"/>
        <v/>
      </c>
      <c r="G151" s="54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25"/>
      <c r="AO151" s="25"/>
    </row>
    <row r="152" spans="2:41" x14ac:dyDescent="0.2">
      <c r="B152" s="22" t="str">
        <f>'Wzorzec kategorii'!B114</f>
        <v>.</v>
      </c>
      <c r="C152" s="19">
        <v>0</v>
      </c>
      <c r="D152" s="20">
        <f>SUM(Tabela192244428[#This Row])</f>
        <v>0</v>
      </c>
      <c r="E152" s="20">
        <f t="shared" si="16"/>
        <v>0</v>
      </c>
      <c r="F152" s="53" t="str">
        <f t="shared" si="15"/>
        <v/>
      </c>
      <c r="G152" s="54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25"/>
      <c r="AO152" s="25"/>
    </row>
    <row r="153" spans="2:41" x14ac:dyDescent="0.2">
      <c r="B153" s="22" t="str">
        <f>'Wzorzec kategorii'!B115</f>
        <v>.</v>
      </c>
      <c r="C153" s="19">
        <v>0</v>
      </c>
      <c r="D153" s="20">
        <f>SUM(Tabela192244428[#This Row])</f>
        <v>0</v>
      </c>
      <c r="E153" s="20">
        <f t="shared" si="16"/>
        <v>0</v>
      </c>
      <c r="F153" s="53" t="str">
        <f t="shared" si="15"/>
        <v/>
      </c>
      <c r="G153" s="54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25"/>
      <c r="AO153" s="25"/>
    </row>
    <row r="154" spans="2:41" x14ac:dyDescent="0.2">
      <c r="B154" s="22" t="str">
        <f>'Wzorzec kategorii'!B116</f>
        <v>.</v>
      </c>
      <c r="C154" s="19">
        <v>0</v>
      </c>
      <c r="D154" s="20">
        <f>SUM(Tabela192244428[#This Row])</f>
        <v>0</v>
      </c>
      <c r="E154" s="20">
        <f t="shared" si="16"/>
        <v>0</v>
      </c>
      <c r="F154" s="53" t="str">
        <f t="shared" si="15"/>
        <v/>
      </c>
      <c r="G154" s="54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25"/>
      <c r="AO154" s="25"/>
    </row>
    <row r="155" spans="2:41" x14ac:dyDescent="0.2">
      <c r="B155" s="22" t="str">
        <f>'Wzorzec kategorii'!B117</f>
        <v>.</v>
      </c>
      <c r="C155" s="19">
        <v>0</v>
      </c>
      <c r="D155" s="20">
        <f>SUM(Tabela192244428[#This Row])</f>
        <v>0</v>
      </c>
      <c r="E155" s="20">
        <f t="shared" si="16"/>
        <v>0</v>
      </c>
      <c r="F155" s="53" t="str">
        <f t="shared" si="15"/>
        <v/>
      </c>
      <c r="G155" s="54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25"/>
      <c r="AO155" s="25"/>
    </row>
    <row r="156" spans="2:41" x14ac:dyDescent="0.2">
      <c r="B156" s="5" t="s">
        <v>30</v>
      </c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</row>
    <row r="157" spans="2:41" x14ac:dyDescent="0.2">
      <c r="B157" s="2" t="str">
        <f>'Wzorzec kategorii'!B119</f>
        <v>Dzieci</v>
      </c>
      <c r="C157" s="3">
        <f>SUM(Tabela1236420[[#All],[Kolumna2]])</f>
        <v>0</v>
      </c>
      <c r="D157" s="16">
        <f>SUM(Tabela1236420[[#All],[Kolumna3]])</f>
        <v>0</v>
      </c>
      <c r="E157" s="3">
        <f>C157-D157</f>
        <v>0</v>
      </c>
      <c r="F157" s="17" t="str">
        <f>IFERROR(D157/C157,"")</f>
        <v/>
      </c>
      <c r="G157" s="3"/>
      <c r="I157" s="11" t="s">
        <v>44</v>
      </c>
      <c r="J157" s="11" t="s">
        <v>45</v>
      </c>
      <c r="K157" s="11" t="s">
        <v>46</v>
      </c>
      <c r="L157" s="11" t="s">
        <v>47</v>
      </c>
      <c r="M157" s="11" t="s">
        <v>48</v>
      </c>
      <c r="N157" s="11" t="s">
        <v>49</v>
      </c>
      <c r="O157" s="11" t="s">
        <v>50</v>
      </c>
      <c r="P157" s="11" t="s">
        <v>51</v>
      </c>
      <c r="Q157" s="11" t="s">
        <v>52</v>
      </c>
      <c r="R157" s="11" t="s">
        <v>53</v>
      </c>
      <c r="S157" s="11" t="s">
        <v>54</v>
      </c>
      <c r="T157" s="11" t="s">
        <v>55</v>
      </c>
      <c r="U157" s="11" t="s">
        <v>56</v>
      </c>
      <c r="V157" s="11" t="s">
        <v>57</v>
      </c>
      <c r="W157" s="11" t="s">
        <v>58</v>
      </c>
      <c r="X157" s="11" t="s">
        <v>59</v>
      </c>
      <c r="Y157" s="11" t="s">
        <v>60</v>
      </c>
      <c r="Z157" s="11" t="s">
        <v>61</v>
      </c>
      <c r="AA157" s="11" t="s">
        <v>62</v>
      </c>
      <c r="AB157" s="11" t="s">
        <v>63</v>
      </c>
      <c r="AC157" s="11" t="s">
        <v>64</v>
      </c>
      <c r="AD157" s="11" t="s">
        <v>65</v>
      </c>
      <c r="AE157" s="11" t="s">
        <v>66</v>
      </c>
      <c r="AF157" s="11" t="s">
        <v>67</v>
      </c>
      <c r="AG157" s="11" t="s">
        <v>68</v>
      </c>
      <c r="AH157" s="11" t="s">
        <v>69</v>
      </c>
      <c r="AI157" s="11" t="s">
        <v>70</v>
      </c>
      <c r="AJ157" s="11" t="s">
        <v>71</v>
      </c>
      <c r="AK157" s="11" t="s">
        <v>72</v>
      </c>
      <c r="AL157" s="11" t="s">
        <v>73</v>
      </c>
      <c r="AM157" s="11" t="s">
        <v>74</v>
      </c>
      <c r="AN157" s="25"/>
      <c r="AO157" s="25"/>
    </row>
    <row r="158" spans="2:41" x14ac:dyDescent="0.2">
      <c r="B158" s="22" t="str">
        <f>'Wzorzec kategorii'!B120</f>
        <v>Artykuły szkolne</v>
      </c>
      <c r="C158" s="19">
        <v>0</v>
      </c>
      <c r="D158" s="20">
        <f>SUM(Tabela2548432[#This Row])</f>
        <v>0</v>
      </c>
      <c r="E158" s="20">
        <f t="shared" ref="E158:E167" si="17">C158-D158</f>
        <v>0</v>
      </c>
      <c r="F158" s="21" t="str">
        <f t="shared" ref="F158:F167" si="18">IFERROR(D158/C158,"")</f>
        <v/>
      </c>
      <c r="G158" s="2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25"/>
      <c r="AO158" s="25"/>
    </row>
    <row r="159" spans="2:41" x14ac:dyDescent="0.2">
      <c r="B159" s="22" t="str">
        <f>'Wzorzec kategorii'!B121</f>
        <v>Dodatkowe zajęcia</v>
      </c>
      <c r="C159" s="19">
        <v>0</v>
      </c>
      <c r="D159" s="20">
        <f>SUM(Tabela2548432[#This Row])</f>
        <v>0</v>
      </c>
      <c r="E159" s="20">
        <f t="shared" si="17"/>
        <v>0</v>
      </c>
      <c r="F159" s="21" t="str">
        <f t="shared" si="18"/>
        <v/>
      </c>
      <c r="G159" s="2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25"/>
      <c r="AO159" s="25"/>
    </row>
    <row r="160" spans="2:41" x14ac:dyDescent="0.2">
      <c r="B160" s="22" t="str">
        <f>'Wzorzec kategorii'!B122</f>
        <v>Wpłaty na szkołę itp.</v>
      </c>
      <c r="C160" s="19">
        <v>0</v>
      </c>
      <c r="D160" s="20">
        <f>SUM(Tabela2548432[#This Row])</f>
        <v>0</v>
      </c>
      <c r="E160" s="20">
        <f t="shared" si="17"/>
        <v>0</v>
      </c>
      <c r="F160" s="21" t="str">
        <f t="shared" si="18"/>
        <v/>
      </c>
      <c r="G160" s="2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25"/>
      <c r="AO160" s="25"/>
    </row>
    <row r="161" spans="2:41" x14ac:dyDescent="0.2">
      <c r="B161" s="22" t="str">
        <f>'Wzorzec kategorii'!B123</f>
        <v>Zabawki / gry</v>
      </c>
      <c r="C161" s="19">
        <v>0</v>
      </c>
      <c r="D161" s="20">
        <f>SUM(Tabela2548432[#This Row])</f>
        <v>0</v>
      </c>
      <c r="E161" s="20">
        <f t="shared" si="17"/>
        <v>0</v>
      </c>
      <c r="F161" s="21" t="str">
        <f t="shared" si="18"/>
        <v/>
      </c>
      <c r="G161" s="2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25"/>
      <c r="AO161" s="25"/>
    </row>
    <row r="162" spans="2:41" x14ac:dyDescent="0.2">
      <c r="B162" s="22" t="str">
        <f>'Wzorzec kategorii'!B124</f>
        <v>Opieka nad dziećmi</v>
      </c>
      <c r="C162" s="19">
        <v>0</v>
      </c>
      <c r="D162" s="20">
        <f>SUM(Tabela2548432[#This Row])</f>
        <v>0</v>
      </c>
      <c r="E162" s="20">
        <f t="shared" si="17"/>
        <v>0</v>
      </c>
      <c r="F162" s="21" t="str">
        <f t="shared" si="18"/>
        <v/>
      </c>
      <c r="G162" s="2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25"/>
      <c r="AO162" s="25"/>
    </row>
    <row r="163" spans="2:41" x14ac:dyDescent="0.2">
      <c r="B163" s="22" t="str">
        <f>'Wzorzec kategorii'!B125</f>
        <v>Inne</v>
      </c>
      <c r="C163" s="19">
        <v>0</v>
      </c>
      <c r="D163" s="20">
        <f>SUM(Tabela2548432[#This Row])</f>
        <v>0</v>
      </c>
      <c r="E163" s="20">
        <f t="shared" si="17"/>
        <v>0</v>
      </c>
      <c r="F163" s="21" t="str">
        <f t="shared" si="18"/>
        <v/>
      </c>
      <c r="G163" s="24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25"/>
      <c r="AO163" s="25"/>
    </row>
    <row r="164" spans="2:41" x14ac:dyDescent="0.2">
      <c r="B164" s="51" t="str">
        <f>'Wzorzec kategorii'!B126</f>
        <v>.</v>
      </c>
      <c r="C164" s="19">
        <v>0</v>
      </c>
      <c r="D164" s="20">
        <f>SUM(Tabela2548432[#This Row])</f>
        <v>0</v>
      </c>
      <c r="E164" s="20">
        <f t="shared" si="17"/>
        <v>0</v>
      </c>
      <c r="F164" s="53" t="str">
        <f t="shared" si="18"/>
        <v/>
      </c>
      <c r="G164" s="24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25"/>
      <c r="AO164" s="25"/>
    </row>
    <row r="165" spans="2:41" x14ac:dyDescent="0.2">
      <c r="B165" s="51" t="str">
        <f>'Wzorzec kategorii'!B127</f>
        <v>.</v>
      </c>
      <c r="C165" s="19">
        <v>0</v>
      </c>
      <c r="D165" s="20">
        <f>SUM(Tabela2548432[#This Row])</f>
        <v>0</v>
      </c>
      <c r="E165" s="20">
        <f t="shared" si="17"/>
        <v>0</v>
      </c>
      <c r="F165" s="53" t="str">
        <f t="shared" si="18"/>
        <v/>
      </c>
      <c r="G165" s="24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25"/>
      <c r="AO165" s="25"/>
    </row>
    <row r="166" spans="2:41" x14ac:dyDescent="0.2">
      <c r="B166" s="51" t="str">
        <f>'Wzorzec kategorii'!B128</f>
        <v>.</v>
      </c>
      <c r="C166" s="19">
        <v>0</v>
      </c>
      <c r="D166" s="20">
        <f>SUM(Tabela2548432[#This Row])</f>
        <v>0</v>
      </c>
      <c r="E166" s="20">
        <f t="shared" si="17"/>
        <v>0</v>
      </c>
      <c r="F166" s="53" t="str">
        <f t="shared" si="18"/>
        <v/>
      </c>
      <c r="G166" s="24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25"/>
      <c r="AO166" s="25"/>
    </row>
    <row r="167" spans="2:41" x14ac:dyDescent="0.2">
      <c r="B167" s="51" t="str">
        <f>'Wzorzec kategorii'!B129</f>
        <v>.</v>
      </c>
      <c r="C167" s="19">
        <v>0</v>
      </c>
      <c r="D167" s="20">
        <f>SUM(Tabela2548432[#This Row])</f>
        <v>0</v>
      </c>
      <c r="E167" s="20">
        <f t="shared" si="17"/>
        <v>0</v>
      </c>
      <c r="F167" s="53" t="str">
        <f t="shared" si="18"/>
        <v/>
      </c>
      <c r="G167" s="24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25"/>
      <c r="AO167" s="25"/>
    </row>
    <row r="168" spans="2:41" x14ac:dyDescent="0.2">
      <c r="B168" s="5" t="s">
        <v>30</v>
      </c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</row>
    <row r="169" spans="2:41" x14ac:dyDescent="0.2">
      <c r="B169" s="2" t="str">
        <f>'Wzorzec kategorii'!B131</f>
        <v>Rozrywka</v>
      </c>
      <c r="C169" s="3">
        <f>SUM(Tabela1337421[[#All],[Kolumna2]])</f>
        <v>0</v>
      </c>
      <c r="D169" s="16">
        <f>SUM(Tabela1337421[[#All],[Kolumna3]])</f>
        <v>0</v>
      </c>
      <c r="E169" s="3">
        <f>C169-D169</f>
        <v>0</v>
      </c>
      <c r="F169" s="17" t="str">
        <f>IFERROR(D169/C169,"")</f>
        <v/>
      </c>
      <c r="G169" s="3"/>
      <c r="I169" s="11" t="s">
        <v>44</v>
      </c>
      <c r="J169" s="11" t="s">
        <v>45</v>
      </c>
      <c r="K169" s="11" t="s">
        <v>46</v>
      </c>
      <c r="L169" s="11" t="s">
        <v>47</v>
      </c>
      <c r="M169" s="11" t="s">
        <v>48</v>
      </c>
      <c r="N169" s="11" t="s">
        <v>49</v>
      </c>
      <c r="O169" s="11" t="s">
        <v>50</v>
      </c>
      <c r="P169" s="11" t="s">
        <v>51</v>
      </c>
      <c r="Q169" s="11" t="s">
        <v>52</v>
      </c>
      <c r="R169" s="11" t="s">
        <v>53</v>
      </c>
      <c r="S169" s="11" t="s">
        <v>54</v>
      </c>
      <c r="T169" s="11" t="s">
        <v>55</v>
      </c>
      <c r="U169" s="11" t="s">
        <v>56</v>
      </c>
      <c r="V169" s="11" t="s">
        <v>57</v>
      </c>
      <c r="W169" s="11" t="s">
        <v>58</v>
      </c>
      <c r="X169" s="11" t="s">
        <v>59</v>
      </c>
      <c r="Y169" s="11" t="s">
        <v>60</v>
      </c>
      <c r="Z169" s="11" t="s">
        <v>61</v>
      </c>
      <c r="AA169" s="11" t="s">
        <v>62</v>
      </c>
      <c r="AB169" s="11" t="s">
        <v>63</v>
      </c>
      <c r="AC169" s="11" t="s">
        <v>64</v>
      </c>
      <c r="AD169" s="11" t="s">
        <v>65</v>
      </c>
      <c r="AE169" s="11" t="s">
        <v>66</v>
      </c>
      <c r="AF169" s="11" t="s">
        <v>67</v>
      </c>
      <c r="AG169" s="11" t="s">
        <v>68</v>
      </c>
      <c r="AH169" s="11" t="s">
        <v>69</v>
      </c>
      <c r="AI169" s="11" t="s">
        <v>70</v>
      </c>
      <c r="AJ169" s="11" t="s">
        <v>71</v>
      </c>
      <c r="AK169" s="11" t="s">
        <v>72</v>
      </c>
      <c r="AL169" s="11" t="s">
        <v>73</v>
      </c>
      <c r="AM169" s="11" t="s">
        <v>74</v>
      </c>
      <c r="AN169" s="25"/>
      <c r="AO169" s="25"/>
    </row>
    <row r="170" spans="2:41" x14ac:dyDescent="0.2">
      <c r="B170" s="22" t="str">
        <f>'Wzorzec kategorii'!B132</f>
        <v>Siłownia / Basen</v>
      </c>
      <c r="C170" s="19">
        <v>0</v>
      </c>
      <c r="D170" s="20">
        <f>SUM(Tabela2649433[#This Row])</f>
        <v>0</v>
      </c>
      <c r="E170" s="20">
        <f t="shared" ref="E170:E179" si="19">C170-D170</f>
        <v>0</v>
      </c>
      <c r="F170" s="21" t="str">
        <f t="shared" ref="F170:F179" si="20">IFERROR(D170/C170,"")</f>
        <v/>
      </c>
      <c r="G170" s="24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25"/>
      <c r="AO170" s="25"/>
    </row>
    <row r="171" spans="2:41" x14ac:dyDescent="0.2">
      <c r="B171" s="22" t="str">
        <f>'Wzorzec kategorii'!B133</f>
        <v>Kino / Teatr</v>
      </c>
      <c r="C171" s="19">
        <v>0</v>
      </c>
      <c r="D171" s="20">
        <f>SUM(Tabela2649433[#This Row])</f>
        <v>0</v>
      </c>
      <c r="E171" s="20">
        <f t="shared" si="19"/>
        <v>0</v>
      </c>
      <c r="F171" s="21" t="str">
        <f t="shared" si="20"/>
        <v/>
      </c>
      <c r="G171" s="24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25"/>
      <c r="AO171" s="25"/>
    </row>
    <row r="172" spans="2:41" x14ac:dyDescent="0.2">
      <c r="B172" s="22" t="str">
        <f>'Wzorzec kategorii'!B134</f>
        <v>Koncerty</v>
      </c>
      <c r="C172" s="19">
        <v>0</v>
      </c>
      <c r="D172" s="20">
        <f>SUM(Tabela2649433[#This Row])</f>
        <v>0</v>
      </c>
      <c r="E172" s="20">
        <f t="shared" si="19"/>
        <v>0</v>
      </c>
      <c r="F172" s="21" t="str">
        <f t="shared" si="20"/>
        <v/>
      </c>
      <c r="G172" s="24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25"/>
      <c r="AO172" s="25"/>
    </row>
    <row r="173" spans="2:41" x14ac:dyDescent="0.2">
      <c r="B173" s="22" t="str">
        <f>'Wzorzec kategorii'!B135</f>
        <v>Czasopisma</v>
      </c>
      <c r="C173" s="19">
        <v>0</v>
      </c>
      <c r="D173" s="20">
        <f>SUM(Tabela2649433[#This Row])</f>
        <v>0</v>
      </c>
      <c r="E173" s="20">
        <f t="shared" si="19"/>
        <v>0</v>
      </c>
      <c r="F173" s="21" t="str">
        <f t="shared" si="20"/>
        <v/>
      </c>
      <c r="G173" s="24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25"/>
      <c r="AO173" s="25"/>
    </row>
    <row r="174" spans="2:41" x14ac:dyDescent="0.2">
      <c r="B174" s="22" t="str">
        <f>'Wzorzec kategorii'!B136</f>
        <v>Książki</v>
      </c>
      <c r="C174" s="19">
        <v>0</v>
      </c>
      <c r="D174" s="20">
        <f>SUM(Tabela2649433[#This Row])</f>
        <v>0</v>
      </c>
      <c r="E174" s="20">
        <f t="shared" si="19"/>
        <v>0</v>
      </c>
      <c r="F174" s="21" t="str">
        <f t="shared" si="20"/>
        <v/>
      </c>
      <c r="G174" s="24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25"/>
      <c r="AO174" s="25"/>
    </row>
    <row r="175" spans="2:41" x14ac:dyDescent="0.2">
      <c r="B175" s="22" t="str">
        <f>'Wzorzec kategorii'!B137</f>
        <v>Hobby</v>
      </c>
      <c r="C175" s="19">
        <v>0</v>
      </c>
      <c r="D175" s="20">
        <f>SUM(Tabela2649433[#This Row])</f>
        <v>0</v>
      </c>
      <c r="E175" s="20">
        <f t="shared" si="19"/>
        <v>0</v>
      </c>
      <c r="F175" s="21" t="str">
        <f t="shared" si="20"/>
        <v/>
      </c>
      <c r="G175" s="24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25"/>
      <c r="AO175" s="25"/>
    </row>
    <row r="176" spans="2:41" x14ac:dyDescent="0.2">
      <c r="B176" s="22" t="str">
        <f>'Wzorzec kategorii'!B138</f>
        <v>Hotel / Turystyka</v>
      </c>
      <c r="C176" s="19">
        <v>0</v>
      </c>
      <c r="D176" s="20">
        <f>SUM(Tabela2649433[#This Row])</f>
        <v>0</v>
      </c>
      <c r="E176" s="20">
        <f t="shared" si="19"/>
        <v>0</v>
      </c>
      <c r="F176" s="21" t="str">
        <f t="shared" si="20"/>
        <v/>
      </c>
      <c r="G176" s="24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25"/>
      <c r="AO176" s="25"/>
    </row>
    <row r="177" spans="2:41" x14ac:dyDescent="0.2">
      <c r="B177" s="22" t="str">
        <f>'Wzorzec kategorii'!B139</f>
        <v>Inne</v>
      </c>
      <c r="C177" s="19">
        <v>0</v>
      </c>
      <c r="D177" s="20">
        <f>SUM(Tabela2649433[#This Row])</f>
        <v>0</v>
      </c>
      <c r="E177" s="20">
        <f t="shared" si="19"/>
        <v>0</v>
      </c>
      <c r="F177" s="21" t="str">
        <f t="shared" si="20"/>
        <v/>
      </c>
      <c r="G177" s="24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25"/>
      <c r="AO177" s="25"/>
    </row>
    <row r="178" spans="2:41" x14ac:dyDescent="0.2">
      <c r="B178" s="22" t="str">
        <f>'Wzorzec kategorii'!B140</f>
        <v>.</v>
      </c>
      <c r="C178" s="19">
        <v>0</v>
      </c>
      <c r="D178" s="20">
        <f>SUM(Tabela2649433[#This Row])</f>
        <v>0</v>
      </c>
      <c r="E178" s="20">
        <f t="shared" si="19"/>
        <v>0</v>
      </c>
      <c r="F178" s="53" t="str">
        <f t="shared" si="20"/>
        <v/>
      </c>
      <c r="G178" s="54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25"/>
      <c r="AO178" s="25"/>
    </row>
    <row r="179" spans="2:41" x14ac:dyDescent="0.2">
      <c r="B179" s="22" t="str">
        <f>'Wzorzec kategorii'!B141</f>
        <v>.</v>
      </c>
      <c r="C179" s="19">
        <v>0</v>
      </c>
      <c r="D179" s="20">
        <f>SUM(Tabela2649433[#This Row])</f>
        <v>0</v>
      </c>
      <c r="E179" s="20">
        <f t="shared" si="19"/>
        <v>0</v>
      </c>
      <c r="F179" s="53" t="str">
        <f t="shared" si="20"/>
        <v/>
      </c>
      <c r="G179" s="54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25"/>
      <c r="AO179" s="25"/>
    </row>
    <row r="180" spans="2:41" x14ac:dyDescent="0.2">
      <c r="B180" s="5" t="s">
        <v>30</v>
      </c>
      <c r="AN180" s="25"/>
      <c r="AO180" s="25"/>
    </row>
    <row r="181" spans="2:41" x14ac:dyDescent="0.2">
      <c r="B181" s="2" t="str">
        <f>'Wzorzec kategorii'!B143</f>
        <v>Inne wydatki</v>
      </c>
      <c r="C181" s="3">
        <f>SUM(Tabela1438422[[#All],[Kolumna2]])</f>
        <v>0</v>
      </c>
      <c r="D181" s="16">
        <f>SUM(Tabela1438422[[#All],[Kolumna3]])</f>
        <v>0</v>
      </c>
      <c r="E181" s="3">
        <f>C181-D181</f>
        <v>0</v>
      </c>
      <c r="F181" s="17" t="str">
        <f>IFERROR(D181/C181,"")</f>
        <v/>
      </c>
      <c r="G181" s="3"/>
      <c r="I181" s="11" t="s">
        <v>44</v>
      </c>
      <c r="J181" s="11" t="s">
        <v>45</v>
      </c>
      <c r="K181" s="11" t="s">
        <v>46</v>
      </c>
      <c r="L181" s="11" t="s">
        <v>47</v>
      </c>
      <c r="M181" s="11" t="s">
        <v>48</v>
      </c>
      <c r="N181" s="11" t="s">
        <v>49</v>
      </c>
      <c r="O181" s="11" t="s">
        <v>50</v>
      </c>
      <c r="P181" s="11" t="s">
        <v>51</v>
      </c>
      <c r="Q181" s="11" t="s">
        <v>52</v>
      </c>
      <c r="R181" s="11" t="s">
        <v>53</v>
      </c>
      <c r="S181" s="11" t="s">
        <v>54</v>
      </c>
      <c r="T181" s="11" t="s">
        <v>55</v>
      </c>
      <c r="U181" s="11" t="s">
        <v>56</v>
      </c>
      <c r="V181" s="11" t="s">
        <v>57</v>
      </c>
      <c r="W181" s="11" t="s">
        <v>58</v>
      </c>
      <c r="X181" s="11" t="s">
        <v>59</v>
      </c>
      <c r="Y181" s="11" t="s">
        <v>60</v>
      </c>
      <c r="Z181" s="11" t="s">
        <v>61</v>
      </c>
      <c r="AA181" s="11" t="s">
        <v>62</v>
      </c>
      <c r="AB181" s="11" t="s">
        <v>63</v>
      </c>
      <c r="AC181" s="11" t="s">
        <v>64</v>
      </c>
      <c r="AD181" s="11" t="s">
        <v>65</v>
      </c>
      <c r="AE181" s="11" t="s">
        <v>66</v>
      </c>
      <c r="AF181" s="11" t="s">
        <v>67</v>
      </c>
      <c r="AG181" s="11" t="s">
        <v>68</v>
      </c>
      <c r="AH181" s="11" t="s">
        <v>69</v>
      </c>
      <c r="AI181" s="11" t="s">
        <v>70</v>
      </c>
      <c r="AJ181" s="11" t="s">
        <v>71</v>
      </c>
      <c r="AK181" s="11" t="s">
        <v>72</v>
      </c>
      <c r="AL181" s="11" t="s">
        <v>73</v>
      </c>
      <c r="AM181" s="11" t="s">
        <v>74</v>
      </c>
      <c r="AN181" s="25"/>
      <c r="AO181" s="25"/>
    </row>
    <row r="182" spans="2:41" x14ac:dyDescent="0.2">
      <c r="B182" s="22" t="str">
        <f>'Wzorzec kategorii'!B144</f>
        <v>Dobroczynność</v>
      </c>
      <c r="C182" s="19">
        <v>0</v>
      </c>
      <c r="D182" s="20">
        <f>SUM(Tabela2750434[#This Row])</f>
        <v>0</v>
      </c>
      <c r="E182" s="20">
        <f t="shared" ref="E182:E191" si="21">C182-D182</f>
        <v>0</v>
      </c>
      <c r="F182" s="21" t="str">
        <f t="shared" ref="F182:F191" si="22">IFERROR(D182/C182,"")</f>
        <v/>
      </c>
      <c r="G182" s="24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25"/>
      <c r="AO182" s="25"/>
    </row>
    <row r="183" spans="2:41" x14ac:dyDescent="0.2">
      <c r="B183" s="22" t="str">
        <f>'Wzorzec kategorii'!B145</f>
        <v>Prezenty</v>
      </c>
      <c r="C183" s="19">
        <v>0</v>
      </c>
      <c r="D183" s="20">
        <f>SUM(Tabela2750434[#This Row])</f>
        <v>0</v>
      </c>
      <c r="E183" s="20">
        <f t="shared" si="21"/>
        <v>0</v>
      </c>
      <c r="F183" s="21" t="str">
        <f t="shared" si="22"/>
        <v/>
      </c>
      <c r="G183" s="24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25"/>
      <c r="AO183" s="25"/>
    </row>
    <row r="184" spans="2:41" x14ac:dyDescent="0.2">
      <c r="B184" s="22" t="str">
        <f>'Wzorzec kategorii'!B146</f>
        <v>Sprzęt RTV</v>
      </c>
      <c r="C184" s="19">
        <v>0</v>
      </c>
      <c r="D184" s="20">
        <f>SUM(Tabela2750434[#This Row])</f>
        <v>0</v>
      </c>
      <c r="E184" s="20">
        <f t="shared" si="21"/>
        <v>0</v>
      </c>
      <c r="F184" s="21" t="str">
        <f t="shared" si="22"/>
        <v/>
      </c>
      <c r="G184" s="24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25"/>
      <c r="AO184" s="25"/>
    </row>
    <row r="185" spans="2:41" x14ac:dyDescent="0.2">
      <c r="B185" s="22" t="str">
        <f>'Wzorzec kategorii'!B147</f>
        <v>Oprogramowanie</v>
      </c>
      <c r="C185" s="19">
        <v>0</v>
      </c>
      <c r="D185" s="20">
        <f>SUM(Tabela2750434[#This Row])</f>
        <v>0</v>
      </c>
      <c r="E185" s="20">
        <f t="shared" si="21"/>
        <v>0</v>
      </c>
      <c r="F185" s="21" t="str">
        <f t="shared" si="22"/>
        <v/>
      </c>
      <c r="G185" s="24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25"/>
      <c r="AO185" s="25"/>
    </row>
    <row r="186" spans="2:41" x14ac:dyDescent="0.2">
      <c r="B186" s="22" t="str">
        <f>'Wzorzec kategorii'!B148</f>
        <v>Edukacja / Szkolenia</v>
      </c>
      <c r="C186" s="19">
        <v>0</v>
      </c>
      <c r="D186" s="20">
        <f>SUM(Tabela2750434[#This Row])</f>
        <v>0</v>
      </c>
      <c r="E186" s="20">
        <f t="shared" si="21"/>
        <v>0</v>
      </c>
      <c r="F186" s="21" t="str">
        <f t="shared" si="22"/>
        <v/>
      </c>
      <c r="G186" s="24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25"/>
      <c r="AO186" s="25"/>
    </row>
    <row r="187" spans="2:41" x14ac:dyDescent="0.2">
      <c r="B187" s="22" t="str">
        <f>'Wzorzec kategorii'!B149</f>
        <v>Usługi inne</v>
      </c>
      <c r="C187" s="19">
        <v>0</v>
      </c>
      <c r="D187" s="20">
        <f>SUM(Tabela2750434[#This Row])</f>
        <v>0</v>
      </c>
      <c r="E187" s="20">
        <f t="shared" si="21"/>
        <v>0</v>
      </c>
      <c r="F187" s="21" t="str">
        <f t="shared" si="22"/>
        <v/>
      </c>
      <c r="G187" s="24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25"/>
      <c r="AO187" s="25"/>
    </row>
    <row r="188" spans="2:41" x14ac:dyDescent="0.2">
      <c r="B188" s="22" t="str">
        <f>'Wzorzec kategorii'!B150</f>
        <v>Podatki</v>
      </c>
      <c r="C188" s="19">
        <v>0</v>
      </c>
      <c r="D188" s="20">
        <f>SUM(Tabela2750434[#This Row])</f>
        <v>0</v>
      </c>
      <c r="E188" s="20">
        <f t="shared" si="21"/>
        <v>0</v>
      </c>
      <c r="F188" s="21" t="str">
        <f t="shared" si="22"/>
        <v/>
      </c>
      <c r="G188" s="24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25"/>
      <c r="AO188" s="25"/>
    </row>
    <row r="189" spans="2:41" x14ac:dyDescent="0.2">
      <c r="B189" s="22" t="str">
        <f>'Wzorzec kategorii'!B151</f>
        <v>Inne</v>
      </c>
      <c r="C189" s="19">
        <v>0</v>
      </c>
      <c r="D189" s="20">
        <f>SUM(Tabela2750434[#This Row])</f>
        <v>0</v>
      </c>
      <c r="E189" s="20">
        <f t="shared" si="21"/>
        <v>0</v>
      </c>
      <c r="F189" s="21" t="str">
        <f t="shared" si="22"/>
        <v/>
      </c>
      <c r="G189" s="24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25"/>
      <c r="AO189" s="25"/>
    </row>
    <row r="190" spans="2:41" x14ac:dyDescent="0.2">
      <c r="B190" s="22" t="str">
        <f>'Wzorzec kategorii'!B152</f>
        <v>.</v>
      </c>
      <c r="C190" s="19">
        <v>0</v>
      </c>
      <c r="D190" s="20">
        <f>SUM(Tabela2750434[#This Row])</f>
        <v>0</v>
      </c>
      <c r="E190" s="20">
        <f t="shared" si="21"/>
        <v>0</v>
      </c>
      <c r="F190" s="53" t="str">
        <f t="shared" si="22"/>
        <v/>
      </c>
      <c r="G190" s="54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25"/>
      <c r="AO190" s="25"/>
    </row>
    <row r="191" spans="2:41" x14ac:dyDescent="0.2">
      <c r="B191" s="22" t="str">
        <f>'Wzorzec kategorii'!B153</f>
        <v>.</v>
      </c>
      <c r="C191" s="19">
        <v>0</v>
      </c>
      <c r="D191" s="20">
        <f>SUM(Tabela2750434[#This Row])</f>
        <v>0</v>
      </c>
      <c r="E191" s="20">
        <f t="shared" si="21"/>
        <v>0</v>
      </c>
      <c r="F191" s="53" t="str">
        <f t="shared" si="22"/>
        <v/>
      </c>
      <c r="G191" s="54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25"/>
      <c r="AO191" s="25"/>
    </row>
    <row r="192" spans="2:41" x14ac:dyDescent="0.2">
      <c r="B192" s="5" t="s">
        <v>30</v>
      </c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</row>
    <row r="193" spans="2:41" x14ac:dyDescent="0.2">
      <c r="B193" s="2" t="str">
        <f>'Wzorzec kategorii'!B155</f>
        <v>Spłata długów</v>
      </c>
      <c r="C193" s="3">
        <f>SUM(Tabela1539423[[#All],[Kolumna2]])</f>
        <v>0</v>
      </c>
      <c r="D193" s="16">
        <f>SUM(Tabela1539423[[#All],[Kolumna3]])</f>
        <v>0</v>
      </c>
      <c r="E193" s="3">
        <f>C193-D193</f>
        <v>0</v>
      </c>
      <c r="F193" s="17" t="str">
        <f>IFERROR(D193/C193,"")</f>
        <v/>
      </c>
      <c r="G193" s="3"/>
      <c r="I193" s="11" t="s">
        <v>44</v>
      </c>
      <c r="J193" s="11" t="s">
        <v>45</v>
      </c>
      <c r="K193" s="11" t="s">
        <v>46</v>
      </c>
      <c r="L193" s="11" t="s">
        <v>47</v>
      </c>
      <c r="M193" s="11" t="s">
        <v>48</v>
      </c>
      <c r="N193" s="11" t="s">
        <v>49</v>
      </c>
      <c r="O193" s="11" t="s">
        <v>50</v>
      </c>
      <c r="P193" s="11" t="s">
        <v>51</v>
      </c>
      <c r="Q193" s="11" t="s">
        <v>52</v>
      </c>
      <c r="R193" s="11" t="s">
        <v>53</v>
      </c>
      <c r="S193" s="11" t="s">
        <v>54</v>
      </c>
      <c r="T193" s="11" t="s">
        <v>55</v>
      </c>
      <c r="U193" s="11" t="s">
        <v>56</v>
      </c>
      <c r="V193" s="11" t="s">
        <v>57</v>
      </c>
      <c r="W193" s="11" t="s">
        <v>58</v>
      </c>
      <c r="X193" s="11" t="s">
        <v>59</v>
      </c>
      <c r="Y193" s="11" t="s">
        <v>60</v>
      </c>
      <c r="Z193" s="11" t="s">
        <v>61</v>
      </c>
      <c r="AA193" s="11" t="s">
        <v>62</v>
      </c>
      <c r="AB193" s="11" t="s">
        <v>63</v>
      </c>
      <c r="AC193" s="11" t="s">
        <v>64</v>
      </c>
      <c r="AD193" s="11" t="s">
        <v>65</v>
      </c>
      <c r="AE193" s="11" t="s">
        <v>66</v>
      </c>
      <c r="AF193" s="11" t="s">
        <v>67</v>
      </c>
      <c r="AG193" s="11" t="s">
        <v>68</v>
      </c>
      <c r="AH193" s="11" t="s">
        <v>69</v>
      </c>
      <c r="AI193" s="11" t="s">
        <v>70</v>
      </c>
      <c r="AJ193" s="11" t="s">
        <v>71</v>
      </c>
      <c r="AK193" s="11" t="s">
        <v>72</v>
      </c>
      <c r="AL193" s="11" t="s">
        <v>73</v>
      </c>
      <c r="AM193" s="11" t="s">
        <v>74</v>
      </c>
      <c r="AN193" s="25"/>
      <c r="AO193" s="25"/>
    </row>
    <row r="194" spans="2:41" x14ac:dyDescent="0.2">
      <c r="B194" s="22" t="str">
        <f>'Wzorzec kategorii'!B156</f>
        <v>Kredyt hipoteczny</v>
      </c>
      <c r="C194" s="19">
        <v>0</v>
      </c>
      <c r="D194" s="20">
        <f>SUM(Tabela2851435[#This Row])</f>
        <v>0</v>
      </c>
      <c r="E194" s="20">
        <f t="shared" ref="E194:E203" si="23">C194-D194</f>
        <v>0</v>
      </c>
      <c r="F194" s="21" t="str">
        <f t="shared" ref="F194:F203" si="24">IFERROR(D194/C194,"")</f>
        <v/>
      </c>
      <c r="G194" s="24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25"/>
      <c r="AO194" s="25"/>
    </row>
    <row r="195" spans="2:41" x14ac:dyDescent="0.2">
      <c r="B195" s="22" t="str">
        <f>'Wzorzec kategorii'!B157</f>
        <v>Kredyt konsumpcyjny</v>
      </c>
      <c r="C195" s="19">
        <v>0</v>
      </c>
      <c r="D195" s="20">
        <f>SUM(Tabela2851435[#This Row])</f>
        <v>0</v>
      </c>
      <c r="E195" s="20">
        <f t="shared" si="23"/>
        <v>0</v>
      </c>
      <c r="F195" s="21" t="str">
        <f t="shared" si="24"/>
        <v/>
      </c>
      <c r="G195" s="24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25"/>
      <c r="AO195" s="25"/>
    </row>
    <row r="196" spans="2:41" x14ac:dyDescent="0.2">
      <c r="B196" s="22" t="str">
        <f>'Wzorzec kategorii'!B158</f>
        <v>Pożyczka osobista</v>
      </c>
      <c r="C196" s="19">
        <v>0</v>
      </c>
      <c r="D196" s="20">
        <f>SUM(Tabela2851435[#This Row])</f>
        <v>0</v>
      </c>
      <c r="E196" s="20">
        <f t="shared" si="23"/>
        <v>0</v>
      </c>
      <c r="F196" s="21" t="str">
        <f t="shared" si="24"/>
        <v/>
      </c>
      <c r="G196" s="24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25"/>
      <c r="AO196" s="25"/>
    </row>
    <row r="197" spans="2:41" x14ac:dyDescent="0.2">
      <c r="B197" s="22" t="str">
        <f>'Wzorzec kategorii'!B159</f>
        <v>Inne</v>
      </c>
      <c r="C197" s="19">
        <v>0</v>
      </c>
      <c r="D197" s="20">
        <f>SUM(Tabela2851435[#This Row])</f>
        <v>0</v>
      </c>
      <c r="E197" s="20">
        <f t="shared" si="23"/>
        <v>0</v>
      </c>
      <c r="F197" s="21" t="str">
        <f t="shared" si="24"/>
        <v/>
      </c>
      <c r="G197" s="24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25"/>
      <c r="AO197" s="25"/>
    </row>
    <row r="198" spans="2:41" x14ac:dyDescent="0.2">
      <c r="B198" s="22" t="str">
        <f>'Wzorzec kategorii'!B160</f>
        <v>.</v>
      </c>
      <c r="C198" s="19">
        <v>0</v>
      </c>
      <c r="D198" s="20">
        <f>SUM(Tabela2851435[#This Row])</f>
        <v>0</v>
      </c>
      <c r="E198" s="20">
        <f t="shared" si="23"/>
        <v>0</v>
      </c>
      <c r="F198" s="21" t="str">
        <f t="shared" si="24"/>
        <v/>
      </c>
      <c r="G198" s="24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25"/>
      <c r="AO198" s="25"/>
    </row>
    <row r="199" spans="2:41" x14ac:dyDescent="0.2">
      <c r="B199" s="22" t="str">
        <f>'Wzorzec kategorii'!B161</f>
        <v>.</v>
      </c>
      <c r="C199" s="19">
        <v>0</v>
      </c>
      <c r="D199" s="20">
        <f>SUM(Tabela2851435[#This Row])</f>
        <v>0</v>
      </c>
      <c r="E199" s="20">
        <f t="shared" si="23"/>
        <v>0</v>
      </c>
      <c r="F199" s="21" t="str">
        <f t="shared" si="24"/>
        <v/>
      </c>
      <c r="G199" s="24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25"/>
      <c r="AO199" s="25"/>
    </row>
    <row r="200" spans="2:41" x14ac:dyDescent="0.2">
      <c r="B200" s="22" t="str">
        <f>'Wzorzec kategorii'!B162</f>
        <v>.</v>
      </c>
      <c r="C200" s="19">
        <v>0</v>
      </c>
      <c r="D200" s="20">
        <f>SUM(Tabela2851435[#This Row])</f>
        <v>0</v>
      </c>
      <c r="E200" s="20">
        <f t="shared" si="23"/>
        <v>0</v>
      </c>
      <c r="F200" s="53" t="str">
        <f t="shared" si="24"/>
        <v/>
      </c>
      <c r="G200" s="54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25"/>
      <c r="AO200" s="25"/>
    </row>
    <row r="201" spans="2:41" x14ac:dyDescent="0.2">
      <c r="B201" s="22" t="str">
        <f>'Wzorzec kategorii'!B163</f>
        <v>.</v>
      </c>
      <c r="C201" s="19">
        <v>0</v>
      </c>
      <c r="D201" s="20">
        <f>SUM(Tabela2851435[#This Row])</f>
        <v>0</v>
      </c>
      <c r="E201" s="20">
        <f t="shared" si="23"/>
        <v>0</v>
      </c>
      <c r="F201" s="53" t="str">
        <f t="shared" si="24"/>
        <v/>
      </c>
      <c r="G201" s="54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25"/>
      <c r="AO201" s="25"/>
    </row>
    <row r="202" spans="2:41" x14ac:dyDescent="0.2">
      <c r="B202" s="22" t="str">
        <f>'Wzorzec kategorii'!B164</f>
        <v>.</v>
      </c>
      <c r="C202" s="19">
        <v>0</v>
      </c>
      <c r="D202" s="20">
        <f>SUM(Tabela2851435[#This Row])</f>
        <v>0</v>
      </c>
      <c r="E202" s="20">
        <f t="shared" si="23"/>
        <v>0</v>
      </c>
      <c r="F202" s="53" t="str">
        <f t="shared" si="24"/>
        <v/>
      </c>
      <c r="G202" s="54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25"/>
      <c r="AO202" s="25"/>
    </row>
    <row r="203" spans="2:41" x14ac:dyDescent="0.2">
      <c r="B203" s="22" t="str">
        <f>'Wzorzec kategorii'!B165</f>
        <v>.</v>
      </c>
      <c r="C203" s="19">
        <v>0</v>
      </c>
      <c r="D203" s="20">
        <f>SUM(Tabela2851435[#This Row])</f>
        <v>0</v>
      </c>
      <c r="E203" s="20">
        <f t="shared" si="23"/>
        <v>0</v>
      </c>
      <c r="F203" s="53" t="str">
        <f t="shared" si="24"/>
        <v/>
      </c>
      <c r="G203" s="54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25"/>
      <c r="AO203" s="25"/>
    </row>
    <row r="204" spans="2:41" x14ac:dyDescent="0.2">
      <c r="B204" s="5" t="s">
        <v>30</v>
      </c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</row>
    <row r="205" spans="2:41" x14ac:dyDescent="0.2">
      <c r="B205" s="2" t="str">
        <f>'Wzorzec kategorii'!B167</f>
        <v>Budowanie oszczędności</v>
      </c>
      <c r="C205" s="3">
        <f>SUM(Tabela1640424[[#All],[Kolumna2]])</f>
        <v>0</v>
      </c>
      <c r="D205" s="16">
        <f>SUM(Tabela1640424[[#All],[Kolumna3]])</f>
        <v>0</v>
      </c>
      <c r="E205" s="3">
        <f>C205-D205</f>
        <v>0</v>
      </c>
      <c r="F205" s="17" t="str">
        <f>IFERROR(D205/C205,"")</f>
        <v/>
      </c>
      <c r="G205" s="3"/>
      <c r="I205" s="11" t="s">
        <v>44</v>
      </c>
      <c r="J205" s="11" t="s">
        <v>45</v>
      </c>
      <c r="K205" s="11" t="s">
        <v>46</v>
      </c>
      <c r="L205" s="11" t="s">
        <v>47</v>
      </c>
      <c r="M205" s="11" t="s">
        <v>48</v>
      </c>
      <c r="N205" s="11" t="s">
        <v>49</v>
      </c>
      <c r="O205" s="11" t="s">
        <v>50</v>
      </c>
      <c r="P205" s="11" t="s">
        <v>51</v>
      </c>
      <c r="Q205" s="11" t="s">
        <v>52</v>
      </c>
      <c r="R205" s="11" t="s">
        <v>53</v>
      </c>
      <c r="S205" s="11" t="s">
        <v>54</v>
      </c>
      <c r="T205" s="11" t="s">
        <v>55</v>
      </c>
      <c r="U205" s="11" t="s">
        <v>56</v>
      </c>
      <c r="V205" s="11" t="s">
        <v>57</v>
      </c>
      <c r="W205" s="11" t="s">
        <v>58</v>
      </c>
      <c r="X205" s="11" t="s">
        <v>59</v>
      </c>
      <c r="Y205" s="11" t="s">
        <v>60</v>
      </c>
      <c r="Z205" s="11" t="s">
        <v>61</v>
      </c>
      <c r="AA205" s="11" t="s">
        <v>62</v>
      </c>
      <c r="AB205" s="11" t="s">
        <v>63</v>
      </c>
      <c r="AC205" s="11" t="s">
        <v>64</v>
      </c>
      <c r="AD205" s="11" t="s">
        <v>65</v>
      </c>
      <c r="AE205" s="11" t="s">
        <v>66</v>
      </c>
      <c r="AF205" s="11" t="s">
        <v>67</v>
      </c>
      <c r="AG205" s="11" t="s">
        <v>68</v>
      </c>
      <c r="AH205" s="11" t="s">
        <v>69</v>
      </c>
      <c r="AI205" s="11" t="s">
        <v>70</v>
      </c>
      <c r="AJ205" s="11" t="s">
        <v>71</v>
      </c>
      <c r="AK205" s="11" t="s">
        <v>72</v>
      </c>
      <c r="AL205" s="11" t="s">
        <v>73</v>
      </c>
      <c r="AM205" s="11" t="s">
        <v>74</v>
      </c>
      <c r="AN205" s="25"/>
      <c r="AO205" s="25"/>
    </row>
    <row r="206" spans="2:41" x14ac:dyDescent="0.2">
      <c r="B206" s="22" t="str">
        <f>'Wzorzec kategorii'!B168</f>
        <v>Fundusz awaryjny</v>
      </c>
      <c r="C206" s="19">
        <v>0</v>
      </c>
      <c r="D206" s="20">
        <f>SUM(Tabela192345429[#This Row])</f>
        <v>0</v>
      </c>
      <c r="E206" s="20">
        <f t="shared" ref="E206:E215" si="25">C206-D206</f>
        <v>0</v>
      </c>
      <c r="F206" s="21" t="str">
        <f t="shared" ref="F206:F215" si="26">IFERROR(D206/C206,"")</f>
        <v/>
      </c>
      <c r="G206" s="24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25"/>
      <c r="AO206" s="25"/>
    </row>
    <row r="207" spans="2:41" ht="30" x14ac:dyDescent="0.2">
      <c r="B207" s="22" t="str">
        <f>'Wzorzec kategorii'!B169</f>
        <v>Fundusz wydatków nieregularnych</v>
      </c>
      <c r="C207" s="19">
        <v>0</v>
      </c>
      <c r="D207" s="20">
        <f>SUM(Tabela192345429[#This Row])</f>
        <v>0</v>
      </c>
      <c r="E207" s="20">
        <f t="shared" si="25"/>
        <v>0</v>
      </c>
      <c r="F207" s="21" t="str">
        <f t="shared" si="26"/>
        <v/>
      </c>
      <c r="G207" s="24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25"/>
      <c r="AO207" s="25"/>
    </row>
    <row r="208" spans="2:41" x14ac:dyDescent="0.2">
      <c r="B208" s="22" t="str">
        <f>'Wzorzec kategorii'!B170</f>
        <v>Poduszka finansowa</v>
      </c>
      <c r="C208" s="19">
        <v>0</v>
      </c>
      <c r="D208" s="20">
        <f>SUM(Tabela192345429[#This Row])</f>
        <v>0</v>
      </c>
      <c r="E208" s="20">
        <f t="shared" si="25"/>
        <v>0</v>
      </c>
      <c r="F208" s="21" t="str">
        <f t="shared" si="26"/>
        <v/>
      </c>
      <c r="G208" s="24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25"/>
      <c r="AO208" s="25"/>
    </row>
    <row r="209" spans="2:41" x14ac:dyDescent="0.2">
      <c r="B209" s="22" t="str">
        <f>'Wzorzec kategorii'!B171</f>
        <v>Konto emerytalne IKE/IKZE</v>
      </c>
      <c r="C209" s="19">
        <v>0</v>
      </c>
      <c r="D209" s="20">
        <f>SUM(Tabela192345429[#This Row])</f>
        <v>0</v>
      </c>
      <c r="E209" s="20">
        <f t="shared" si="25"/>
        <v>0</v>
      </c>
      <c r="F209" s="21" t="str">
        <f t="shared" si="26"/>
        <v/>
      </c>
      <c r="G209" s="24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25"/>
      <c r="AO209" s="25"/>
    </row>
    <row r="210" spans="2:41" x14ac:dyDescent="0.2">
      <c r="B210" s="22" t="str">
        <f>'Wzorzec kategorii'!B172</f>
        <v>Nadpłata długów</v>
      </c>
      <c r="C210" s="19">
        <v>0</v>
      </c>
      <c r="D210" s="20">
        <f>SUM(Tabela192345429[#This Row])</f>
        <v>0</v>
      </c>
      <c r="E210" s="20">
        <f t="shared" si="25"/>
        <v>0</v>
      </c>
      <c r="F210" s="21" t="str">
        <f t="shared" si="26"/>
        <v/>
      </c>
      <c r="G210" s="24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25"/>
      <c r="AO210" s="25"/>
    </row>
    <row r="211" spans="2:41" x14ac:dyDescent="0.2">
      <c r="B211" s="22" t="str">
        <f>'Wzorzec kategorii'!B173</f>
        <v>Fundusz: wakacje</v>
      </c>
      <c r="C211" s="19">
        <v>0</v>
      </c>
      <c r="D211" s="20">
        <f>SUM(Tabela192345429[#This Row])</f>
        <v>0</v>
      </c>
      <c r="E211" s="20">
        <f t="shared" si="25"/>
        <v>0</v>
      </c>
      <c r="F211" s="21" t="str">
        <f t="shared" si="26"/>
        <v/>
      </c>
      <c r="G211" s="24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25"/>
      <c r="AO211" s="25"/>
    </row>
    <row r="212" spans="2:41" x14ac:dyDescent="0.2">
      <c r="B212" s="22" t="str">
        <f>'Wzorzec kategorii'!B174</f>
        <v>Fundusz: prezenty świąteczne</v>
      </c>
      <c r="C212" s="19">
        <v>0</v>
      </c>
      <c r="D212" s="20">
        <f>SUM(Tabela192345429[#This Row])</f>
        <v>0</v>
      </c>
      <c r="E212" s="20">
        <f t="shared" si="25"/>
        <v>0</v>
      </c>
      <c r="F212" s="21" t="str">
        <f t="shared" si="26"/>
        <v/>
      </c>
      <c r="G212" s="24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25"/>
      <c r="AO212" s="25"/>
    </row>
    <row r="213" spans="2:41" x14ac:dyDescent="0.2">
      <c r="B213" s="22" t="str">
        <f>'Wzorzec kategorii'!B175</f>
        <v>Inne</v>
      </c>
      <c r="C213" s="19">
        <v>0</v>
      </c>
      <c r="D213" s="20">
        <f>SUM(Tabela192345429[#This Row])</f>
        <v>0</v>
      </c>
      <c r="E213" s="20">
        <f t="shared" si="25"/>
        <v>0</v>
      </c>
      <c r="F213" s="21" t="str">
        <f t="shared" si="26"/>
        <v/>
      </c>
      <c r="G213" s="24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25"/>
      <c r="AO213" s="25"/>
    </row>
    <row r="214" spans="2:41" x14ac:dyDescent="0.2">
      <c r="B214" s="22" t="str">
        <f>'Wzorzec kategorii'!B176</f>
        <v>.</v>
      </c>
      <c r="C214" s="19">
        <v>0</v>
      </c>
      <c r="D214" s="20">
        <f>SUM(Tabela192345429[#This Row])</f>
        <v>0</v>
      </c>
      <c r="E214" s="20">
        <f t="shared" si="25"/>
        <v>0</v>
      </c>
      <c r="F214" s="53" t="str">
        <f t="shared" si="26"/>
        <v/>
      </c>
      <c r="G214" s="54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25"/>
      <c r="AO214" s="25"/>
    </row>
    <row r="215" spans="2:41" x14ac:dyDescent="0.2">
      <c r="B215" s="22" t="str">
        <f>'Wzorzec kategorii'!B177</f>
        <v>.</v>
      </c>
      <c r="C215" s="19">
        <v>0</v>
      </c>
      <c r="D215" s="20">
        <f>SUM(Tabela192345429[#This Row])</f>
        <v>0</v>
      </c>
      <c r="E215" s="20">
        <f t="shared" si="25"/>
        <v>0</v>
      </c>
      <c r="F215" s="53" t="str">
        <f t="shared" si="26"/>
        <v/>
      </c>
      <c r="G215" s="54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25"/>
      <c r="AO215" s="25"/>
    </row>
    <row r="216" spans="2:41" x14ac:dyDescent="0.2"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</row>
    <row r="217" spans="2:41" x14ac:dyDescent="0.2">
      <c r="B217" s="2" t="str">
        <f>'Wzorzec kategorii'!B179</f>
        <v>INNE 1</v>
      </c>
      <c r="C217" s="3">
        <f>SUM(Tabela164058436[[#All],[Kolumna2]])</f>
        <v>0</v>
      </c>
      <c r="D217" s="16">
        <f>SUM(Tabela164058436[[#All],[Kolumna3]])</f>
        <v>0</v>
      </c>
      <c r="E217" s="3">
        <f>C217-D217</f>
        <v>0</v>
      </c>
      <c r="F217" s="17" t="str">
        <f>IFERROR(D217/C217,"")</f>
        <v/>
      </c>
      <c r="G217" s="3"/>
      <c r="I217" s="11" t="s">
        <v>44</v>
      </c>
      <c r="J217" s="11" t="s">
        <v>45</v>
      </c>
      <c r="K217" s="11" t="s">
        <v>46</v>
      </c>
      <c r="L217" s="11" t="s">
        <v>47</v>
      </c>
      <c r="M217" s="11" t="s">
        <v>48</v>
      </c>
      <c r="N217" s="11" t="s">
        <v>49</v>
      </c>
      <c r="O217" s="11" t="s">
        <v>50</v>
      </c>
      <c r="P217" s="11" t="s">
        <v>51</v>
      </c>
      <c r="Q217" s="11" t="s">
        <v>52</v>
      </c>
      <c r="R217" s="11" t="s">
        <v>53</v>
      </c>
      <c r="S217" s="11" t="s">
        <v>54</v>
      </c>
      <c r="T217" s="11" t="s">
        <v>55</v>
      </c>
      <c r="U217" s="11" t="s">
        <v>56</v>
      </c>
      <c r="V217" s="11" t="s">
        <v>57</v>
      </c>
      <c r="W217" s="11" t="s">
        <v>58</v>
      </c>
      <c r="X217" s="11" t="s">
        <v>59</v>
      </c>
      <c r="Y217" s="11" t="s">
        <v>60</v>
      </c>
      <c r="Z217" s="11" t="s">
        <v>61</v>
      </c>
      <c r="AA217" s="11" t="s">
        <v>62</v>
      </c>
      <c r="AB217" s="11" t="s">
        <v>63</v>
      </c>
      <c r="AC217" s="11" t="s">
        <v>64</v>
      </c>
      <c r="AD217" s="11" t="s">
        <v>65</v>
      </c>
      <c r="AE217" s="11" t="s">
        <v>66</v>
      </c>
      <c r="AF217" s="11" t="s">
        <v>67</v>
      </c>
      <c r="AG217" s="11" t="s">
        <v>68</v>
      </c>
      <c r="AH217" s="11" t="s">
        <v>69</v>
      </c>
      <c r="AI217" s="11" t="s">
        <v>70</v>
      </c>
      <c r="AJ217" s="11" t="s">
        <v>71</v>
      </c>
      <c r="AK217" s="11" t="s">
        <v>72</v>
      </c>
      <c r="AL217" s="11" t="s">
        <v>73</v>
      </c>
      <c r="AM217" s="11" t="s">
        <v>74</v>
      </c>
    </row>
    <row r="218" spans="2:41" x14ac:dyDescent="0.2">
      <c r="B218" s="22" t="str">
        <f>'Wzorzec kategorii'!B180</f>
        <v>.</v>
      </c>
      <c r="C218" s="19">
        <v>0</v>
      </c>
      <c r="D218" s="20">
        <f>SUM(Tabela19234559437[#This Row])</f>
        <v>0</v>
      </c>
      <c r="E218" s="20">
        <f t="shared" ref="E218:E227" si="27">C218-D218</f>
        <v>0</v>
      </c>
      <c r="F218" s="21" t="str">
        <f t="shared" ref="F218:F227" si="28">IFERROR(D218/C218,"")</f>
        <v/>
      </c>
      <c r="G218" s="24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2:41" x14ac:dyDescent="0.2">
      <c r="B219" s="22" t="str">
        <f>'Wzorzec kategorii'!B181</f>
        <v>.</v>
      </c>
      <c r="C219" s="19">
        <v>0</v>
      </c>
      <c r="D219" s="20">
        <f>SUM(Tabela19234559437[#This Row])</f>
        <v>0</v>
      </c>
      <c r="E219" s="20">
        <f t="shared" si="27"/>
        <v>0</v>
      </c>
      <c r="F219" s="21" t="str">
        <f t="shared" si="28"/>
        <v/>
      </c>
      <c r="G219" s="24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 spans="2:41" x14ac:dyDescent="0.2">
      <c r="B220" s="22" t="str">
        <f>'Wzorzec kategorii'!B182</f>
        <v>.</v>
      </c>
      <c r="C220" s="19">
        <v>0</v>
      </c>
      <c r="D220" s="20">
        <f>SUM(Tabela19234559437[#This Row])</f>
        <v>0</v>
      </c>
      <c r="E220" s="20">
        <f t="shared" si="27"/>
        <v>0</v>
      </c>
      <c r="F220" s="21" t="str">
        <f t="shared" si="28"/>
        <v/>
      </c>
      <c r="G220" s="24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 spans="2:41" x14ac:dyDescent="0.2">
      <c r="B221" s="22" t="str">
        <f>'Wzorzec kategorii'!B183</f>
        <v>.</v>
      </c>
      <c r="C221" s="19">
        <v>0</v>
      </c>
      <c r="D221" s="20">
        <f>SUM(Tabela19234559437[#This Row])</f>
        <v>0</v>
      </c>
      <c r="E221" s="20">
        <f t="shared" si="27"/>
        <v>0</v>
      </c>
      <c r="F221" s="21" t="str">
        <f t="shared" si="28"/>
        <v/>
      </c>
      <c r="G221" s="24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 spans="2:41" x14ac:dyDescent="0.2">
      <c r="B222" s="22" t="str">
        <f>'Wzorzec kategorii'!B184</f>
        <v>.</v>
      </c>
      <c r="C222" s="19">
        <v>0</v>
      </c>
      <c r="D222" s="20">
        <f>SUM(Tabela19234559437[#This Row])</f>
        <v>0</v>
      </c>
      <c r="E222" s="20">
        <f t="shared" si="27"/>
        <v>0</v>
      </c>
      <c r="F222" s="21" t="str">
        <f t="shared" si="28"/>
        <v/>
      </c>
      <c r="G222" s="24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</row>
    <row r="223" spans="2:41" x14ac:dyDescent="0.2">
      <c r="B223" s="22" t="str">
        <f>'Wzorzec kategorii'!B185</f>
        <v>.</v>
      </c>
      <c r="C223" s="19">
        <v>0</v>
      </c>
      <c r="D223" s="20">
        <f>SUM(Tabela19234559437[#This Row])</f>
        <v>0</v>
      </c>
      <c r="E223" s="20">
        <f t="shared" si="27"/>
        <v>0</v>
      </c>
      <c r="F223" s="21" t="str">
        <f t="shared" si="28"/>
        <v/>
      </c>
      <c r="G223" s="24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</row>
    <row r="224" spans="2:41" x14ac:dyDescent="0.2">
      <c r="B224" s="22" t="str">
        <f>'Wzorzec kategorii'!B186</f>
        <v>.</v>
      </c>
      <c r="C224" s="19">
        <v>0</v>
      </c>
      <c r="D224" s="20">
        <f>SUM(Tabela19234559437[#This Row])</f>
        <v>0</v>
      </c>
      <c r="E224" s="20">
        <f t="shared" si="27"/>
        <v>0</v>
      </c>
      <c r="F224" s="21" t="str">
        <f t="shared" si="28"/>
        <v/>
      </c>
      <c r="G224" s="24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2:39" x14ac:dyDescent="0.2">
      <c r="B225" s="22" t="str">
        <f>'Wzorzec kategorii'!B187</f>
        <v>.</v>
      </c>
      <c r="C225" s="19">
        <v>0</v>
      </c>
      <c r="D225" s="20">
        <f>SUM(Tabela19234559437[#This Row])</f>
        <v>0</v>
      </c>
      <c r="E225" s="20">
        <f t="shared" si="27"/>
        <v>0</v>
      </c>
      <c r="F225" s="21" t="str">
        <f t="shared" si="28"/>
        <v/>
      </c>
      <c r="G225" s="24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 spans="2:39" x14ac:dyDescent="0.2">
      <c r="B226" s="22" t="str">
        <f>'Wzorzec kategorii'!B188</f>
        <v>.</v>
      </c>
      <c r="C226" s="19">
        <v>0</v>
      </c>
      <c r="D226" s="20">
        <f>SUM(Tabela19234559437[#This Row])</f>
        <v>0</v>
      </c>
      <c r="E226" s="20">
        <f t="shared" si="27"/>
        <v>0</v>
      </c>
      <c r="F226" s="53" t="str">
        <f t="shared" si="28"/>
        <v/>
      </c>
      <c r="G226" s="54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</row>
    <row r="227" spans="2:39" x14ac:dyDescent="0.2">
      <c r="B227" s="22" t="str">
        <f>'Wzorzec kategorii'!B189</f>
        <v>.</v>
      </c>
      <c r="C227" s="19">
        <v>0</v>
      </c>
      <c r="D227" s="20">
        <f>SUM(Tabela19234559437[#This Row])</f>
        <v>0</v>
      </c>
      <c r="E227" s="20">
        <f t="shared" si="27"/>
        <v>0</v>
      </c>
      <c r="F227" s="53" t="str">
        <f t="shared" si="28"/>
        <v/>
      </c>
      <c r="G227" s="54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</row>
    <row r="228" spans="2:39" x14ac:dyDescent="0.2"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</row>
    <row r="229" spans="2:39" x14ac:dyDescent="0.2">
      <c r="B229" s="2" t="str">
        <f>'Wzorzec kategorii'!B191</f>
        <v>INNE 2</v>
      </c>
      <c r="C229" s="3">
        <f>SUM(Tabela16405860438[[#All],[Kolumna2]])</f>
        <v>0</v>
      </c>
      <c r="D229" s="16">
        <f>SUM(Tabela16405860438[[#All],[Kolumna3]])</f>
        <v>0</v>
      </c>
      <c r="E229" s="3">
        <f>C229-D229</f>
        <v>0</v>
      </c>
      <c r="F229" s="17" t="str">
        <f>IFERROR(D229/C229,"")</f>
        <v/>
      </c>
      <c r="G229" s="3"/>
      <c r="I229" s="11" t="s">
        <v>44</v>
      </c>
      <c r="J229" s="11" t="s">
        <v>45</v>
      </c>
      <c r="K229" s="11" t="s">
        <v>46</v>
      </c>
      <c r="L229" s="11" t="s">
        <v>47</v>
      </c>
      <c r="M229" s="11" t="s">
        <v>48</v>
      </c>
      <c r="N229" s="11" t="s">
        <v>49</v>
      </c>
      <c r="O229" s="11" t="s">
        <v>50</v>
      </c>
      <c r="P229" s="11" t="s">
        <v>51</v>
      </c>
      <c r="Q229" s="11" t="s">
        <v>52</v>
      </c>
      <c r="R229" s="11" t="s">
        <v>53</v>
      </c>
      <c r="S229" s="11" t="s">
        <v>54</v>
      </c>
      <c r="T229" s="11" t="s">
        <v>55</v>
      </c>
      <c r="U229" s="11" t="s">
        <v>56</v>
      </c>
      <c r="V229" s="11" t="s">
        <v>57</v>
      </c>
      <c r="W229" s="11" t="s">
        <v>58</v>
      </c>
      <c r="X229" s="11" t="s">
        <v>59</v>
      </c>
      <c r="Y229" s="11" t="s">
        <v>60</v>
      </c>
      <c r="Z229" s="11" t="s">
        <v>61</v>
      </c>
      <c r="AA229" s="11" t="s">
        <v>62</v>
      </c>
      <c r="AB229" s="11" t="s">
        <v>63</v>
      </c>
      <c r="AC229" s="11" t="s">
        <v>64</v>
      </c>
      <c r="AD229" s="11" t="s">
        <v>65</v>
      </c>
      <c r="AE229" s="11" t="s">
        <v>66</v>
      </c>
      <c r="AF229" s="11" t="s">
        <v>67</v>
      </c>
      <c r="AG229" s="11" t="s">
        <v>68</v>
      </c>
      <c r="AH229" s="11" t="s">
        <v>69</v>
      </c>
      <c r="AI229" s="11" t="s">
        <v>70</v>
      </c>
      <c r="AJ229" s="11" t="s">
        <v>71</v>
      </c>
      <c r="AK229" s="11" t="s">
        <v>72</v>
      </c>
      <c r="AL229" s="11" t="s">
        <v>73</v>
      </c>
      <c r="AM229" s="11" t="s">
        <v>74</v>
      </c>
    </row>
    <row r="230" spans="2:39" x14ac:dyDescent="0.2">
      <c r="B230" s="22" t="str">
        <f>'Wzorzec kategorii'!B192</f>
        <v>.</v>
      </c>
      <c r="C230" s="19">
        <v>0</v>
      </c>
      <c r="D230" s="20">
        <f>SUM(Tabela1923455962440[#This Row])</f>
        <v>0</v>
      </c>
      <c r="E230" s="20">
        <f t="shared" ref="E230:E239" si="29">C230-D230</f>
        <v>0</v>
      </c>
      <c r="F230" s="21" t="str">
        <f t="shared" ref="F230:F239" si="30">IFERROR(D230/C230,"")</f>
        <v/>
      </c>
      <c r="G230" s="24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2:39" x14ac:dyDescent="0.2">
      <c r="B231" s="22" t="str">
        <f>'Wzorzec kategorii'!B193</f>
        <v>.</v>
      </c>
      <c r="C231" s="19">
        <v>0</v>
      </c>
      <c r="D231" s="20">
        <f>SUM(Tabela1923455962440[#This Row])</f>
        <v>0</v>
      </c>
      <c r="E231" s="20">
        <f t="shared" si="29"/>
        <v>0</v>
      </c>
      <c r="F231" s="21" t="str">
        <f t="shared" si="30"/>
        <v/>
      </c>
      <c r="G231" s="24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 spans="2:39" x14ac:dyDescent="0.2">
      <c r="B232" s="22" t="str">
        <f>'Wzorzec kategorii'!B194</f>
        <v>.</v>
      </c>
      <c r="C232" s="19">
        <v>0</v>
      </c>
      <c r="D232" s="20">
        <f>SUM(Tabela1923455962440[#This Row])</f>
        <v>0</v>
      </c>
      <c r="E232" s="20">
        <f t="shared" si="29"/>
        <v>0</v>
      </c>
      <c r="F232" s="21" t="str">
        <f t="shared" si="30"/>
        <v/>
      </c>
      <c r="G232" s="24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</row>
    <row r="233" spans="2:39" x14ac:dyDescent="0.2">
      <c r="B233" s="22" t="str">
        <f>'Wzorzec kategorii'!B195</f>
        <v>.</v>
      </c>
      <c r="C233" s="19">
        <v>0</v>
      </c>
      <c r="D233" s="20">
        <f>SUM(Tabela1923455962440[#This Row])</f>
        <v>0</v>
      </c>
      <c r="E233" s="20">
        <f t="shared" si="29"/>
        <v>0</v>
      </c>
      <c r="F233" s="21" t="str">
        <f t="shared" si="30"/>
        <v/>
      </c>
      <c r="G233" s="24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2:39" x14ac:dyDescent="0.2">
      <c r="B234" s="22" t="str">
        <f>'Wzorzec kategorii'!B196</f>
        <v>.</v>
      </c>
      <c r="C234" s="19">
        <v>0</v>
      </c>
      <c r="D234" s="20">
        <f>SUM(Tabela1923455962440[#This Row])</f>
        <v>0</v>
      </c>
      <c r="E234" s="20">
        <f t="shared" si="29"/>
        <v>0</v>
      </c>
      <c r="F234" s="21" t="str">
        <f t="shared" si="30"/>
        <v/>
      </c>
      <c r="G234" s="24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 spans="2:39" x14ac:dyDescent="0.2">
      <c r="B235" s="22" t="str">
        <f>'Wzorzec kategorii'!B197</f>
        <v>.</v>
      </c>
      <c r="C235" s="19">
        <v>0</v>
      </c>
      <c r="D235" s="20">
        <f>SUM(Tabela1923455962440[#This Row])</f>
        <v>0</v>
      </c>
      <c r="E235" s="20">
        <f t="shared" si="29"/>
        <v>0</v>
      </c>
      <c r="F235" s="21" t="str">
        <f t="shared" si="30"/>
        <v/>
      </c>
      <c r="G235" s="24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 spans="2:39" x14ac:dyDescent="0.2">
      <c r="B236" s="22" t="str">
        <f>'Wzorzec kategorii'!B198</f>
        <v>.</v>
      </c>
      <c r="C236" s="19">
        <v>0</v>
      </c>
      <c r="D236" s="20">
        <f>SUM(Tabela1923455962440[#This Row])</f>
        <v>0</v>
      </c>
      <c r="E236" s="20">
        <f t="shared" si="29"/>
        <v>0</v>
      </c>
      <c r="F236" s="21" t="str">
        <f t="shared" si="30"/>
        <v/>
      </c>
      <c r="G236" s="24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 spans="2:39" x14ac:dyDescent="0.2">
      <c r="B237" s="22" t="str">
        <f>'Wzorzec kategorii'!B199</f>
        <v>.</v>
      </c>
      <c r="C237" s="19">
        <v>0</v>
      </c>
      <c r="D237" s="20">
        <f>SUM(Tabela1923455962440[#This Row])</f>
        <v>0</v>
      </c>
      <c r="E237" s="20">
        <f t="shared" si="29"/>
        <v>0</v>
      </c>
      <c r="F237" s="21" t="str">
        <f t="shared" si="30"/>
        <v/>
      </c>
      <c r="G237" s="24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 spans="2:39" x14ac:dyDescent="0.2">
      <c r="B238" s="22" t="str">
        <f>'Wzorzec kategorii'!B200</f>
        <v>.</v>
      </c>
      <c r="C238" s="19">
        <v>0</v>
      </c>
      <c r="D238" s="20">
        <f>SUM(Tabela1923455962440[#This Row])</f>
        <v>0</v>
      </c>
      <c r="E238" s="20">
        <f t="shared" si="29"/>
        <v>0</v>
      </c>
      <c r="F238" s="53" t="str">
        <f t="shared" si="30"/>
        <v/>
      </c>
      <c r="G238" s="54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</row>
    <row r="239" spans="2:39" x14ac:dyDescent="0.2">
      <c r="B239" s="22" t="str">
        <f>'Wzorzec kategorii'!B201</f>
        <v>.</v>
      </c>
      <c r="C239" s="19">
        <v>0</v>
      </c>
      <c r="D239" s="20">
        <f>SUM(Tabela1923455962440[#This Row])</f>
        <v>0</v>
      </c>
      <c r="E239" s="20">
        <f t="shared" si="29"/>
        <v>0</v>
      </c>
      <c r="F239" s="53" t="str">
        <f t="shared" si="30"/>
        <v/>
      </c>
      <c r="G239" s="54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</row>
    <row r="240" spans="2:39" x14ac:dyDescent="0.2"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</row>
    <row r="241" spans="2:39" x14ac:dyDescent="0.2">
      <c r="B241" s="2" t="str">
        <f>'Wzorzec kategorii'!B203</f>
        <v>INNE 3</v>
      </c>
      <c r="C241" s="3">
        <f>SUM(Tabela1640586061439[[#All],[Kolumna2]])</f>
        <v>0</v>
      </c>
      <c r="D241" s="16">
        <f>SUM(Tabela1640586061439[[#All],[Kolumna3]])</f>
        <v>0</v>
      </c>
      <c r="E241" s="3">
        <f>C241-D241</f>
        <v>0</v>
      </c>
      <c r="F241" s="17" t="str">
        <f>IFERROR(D241/C241,"")</f>
        <v/>
      </c>
      <c r="G241" s="3"/>
      <c r="I241" s="11" t="s">
        <v>44</v>
      </c>
      <c r="J241" s="11" t="s">
        <v>45</v>
      </c>
      <c r="K241" s="11" t="s">
        <v>46</v>
      </c>
      <c r="L241" s="11" t="s">
        <v>47</v>
      </c>
      <c r="M241" s="11" t="s">
        <v>48</v>
      </c>
      <c r="N241" s="11" t="s">
        <v>49</v>
      </c>
      <c r="O241" s="11" t="s">
        <v>50</v>
      </c>
      <c r="P241" s="11" t="s">
        <v>51</v>
      </c>
      <c r="Q241" s="11" t="s">
        <v>52</v>
      </c>
      <c r="R241" s="11" t="s">
        <v>53</v>
      </c>
      <c r="S241" s="11" t="s">
        <v>54</v>
      </c>
      <c r="T241" s="11" t="s">
        <v>55</v>
      </c>
      <c r="U241" s="11" t="s">
        <v>56</v>
      </c>
      <c r="V241" s="11" t="s">
        <v>57</v>
      </c>
      <c r="W241" s="11" t="s">
        <v>58</v>
      </c>
      <c r="X241" s="11" t="s">
        <v>59</v>
      </c>
      <c r="Y241" s="11" t="s">
        <v>60</v>
      </c>
      <c r="Z241" s="11" t="s">
        <v>61</v>
      </c>
      <c r="AA241" s="11" t="s">
        <v>62</v>
      </c>
      <c r="AB241" s="11" t="s">
        <v>63</v>
      </c>
      <c r="AC241" s="11" t="s">
        <v>64</v>
      </c>
      <c r="AD241" s="11" t="s">
        <v>65</v>
      </c>
      <c r="AE241" s="11" t="s">
        <v>66</v>
      </c>
      <c r="AF241" s="11" t="s">
        <v>67</v>
      </c>
      <c r="AG241" s="11" t="s">
        <v>68</v>
      </c>
      <c r="AH241" s="11" t="s">
        <v>69</v>
      </c>
      <c r="AI241" s="11" t="s">
        <v>70</v>
      </c>
      <c r="AJ241" s="11" t="s">
        <v>71</v>
      </c>
      <c r="AK241" s="11" t="s">
        <v>72</v>
      </c>
      <c r="AL241" s="11" t="s">
        <v>73</v>
      </c>
      <c r="AM241" s="11" t="s">
        <v>74</v>
      </c>
    </row>
    <row r="242" spans="2:39" x14ac:dyDescent="0.2">
      <c r="B242" s="22" t="str">
        <f>'Wzorzec kategorii'!B204</f>
        <v>.</v>
      </c>
      <c r="C242" s="19">
        <v>0</v>
      </c>
      <c r="D242" s="20">
        <f>SUM(Tabela1923455963441[#This Row])</f>
        <v>0</v>
      </c>
      <c r="E242" s="20">
        <f t="shared" ref="E242:E251" si="31">C242-D242</f>
        <v>0</v>
      </c>
      <c r="F242" s="21" t="str">
        <f t="shared" ref="F242:F251" si="32">IFERROR(D242/C242,"")</f>
        <v/>
      </c>
      <c r="G242" s="24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2:39" x14ac:dyDescent="0.2">
      <c r="B243" s="22" t="str">
        <f>'Wzorzec kategorii'!B205</f>
        <v>.</v>
      </c>
      <c r="C243" s="19">
        <v>0</v>
      </c>
      <c r="D243" s="20">
        <f>SUM(Tabela1923455963441[#This Row])</f>
        <v>0</v>
      </c>
      <c r="E243" s="20">
        <f t="shared" si="31"/>
        <v>0</v>
      </c>
      <c r="F243" s="21" t="str">
        <f t="shared" si="32"/>
        <v/>
      </c>
      <c r="G243" s="24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 spans="2:39" x14ac:dyDescent="0.2">
      <c r="B244" s="22" t="str">
        <f>'Wzorzec kategorii'!B206</f>
        <v>.</v>
      </c>
      <c r="C244" s="19">
        <v>0</v>
      </c>
      <c r="D244" s="20">
        <f>SUM(Tabela1923455963441[#This Row])</f>
        <v>0</v>
      </c>
      <c r="E244" s="20">
        <f t="shared" si="31"/>
        <v>0</v>
      </c>
      <c r="F244" s="21" t="str">
        <f t="shared" si="32"/>
        <v/>
      </c>
      <c r="G244" s="24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 spans="2:39" x14ac:dyDescent="0.2">
      <c r="B245" s="22" t="str">
        <f>'Wzorzec kategorii'!B207</f>
        <v>.</v>
      </c>
      <c r="C245" s="19">
        <v>0</v>
      </c>
      <c r="D245" s="20">
        <f>SUM(Tabela1923455963441[#This Row])</f>
        <v>0</v>
      </c>
      <c r="E245" s="20">
        <f t="shared" si="31"/>
        <v>0</v>
      </c>
      <c r="F245" s="21" t="str">
        <f t="shared" si="32"/>
        <v/>
      </c>
      <c r="G245" s="24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2:39" x14ac:dyDescent="0.2">
      <c r="B246" s="22" t="str">
        <f>'Wzorzec kategorii'!B208</f>
        <v>.</v>
      </c>
      <c r="C246" s="19">
        <v>0</v>
      </c>
      <c r="D246" s="20">
        <f>SUM(Tabela1923455963441[#This Row])</f>
        <v>0</v>
      </c>
      <c r="E246" s="20">
        <f t="shared" si="31"/>
        <v>0</v>
      </c>
      <c r="F246" s="21" t="str">
        <f t="shared" si="32"/>
        <v/>
      </c>
      <c r="G246" s="24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 spans="2:39" x14ac:dyDescent="0.2">
      <c r="B247" s="22" t="str">
        <f>'Wzorzec kategorii'!B209</f>
        <v>.</v>
      </c>
      <c r="C247" s="19">
        <v>0</v>
      </c>
      <c r="D247" s="20">
        <f>SUM(Tabela1923455963441[#This Row])</f>
        <v>0</v>
      </c>
      <c r="E247" s="20">
        <f t="shared" si="31"/>
        <v>0</v>
      </c>
      <c r="F247" s="21" t="str">
        <f t="shared" si="32"/>
        <v/>
      </c>
      <c r="G247" s="24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</row>
    <row r="248" spans="2:39" x14ac:dyDescent="0.2">
      <c r="B248" s="22" t="str">
        <f>'Wzorzec kategorii'!B210</f>
        <v>.</v>
      </c>
      <c r="C248" s="19">
        <v>0</v>
      </c>
      <c r="D248" s="20">
        <f>SUM(Tabela1923455963441[#This Row])</f>
        <v>0</v>
      </c>
      <c r="E248" s="20">
        <f t="shared" si="31"/>
        <v>0</v>
      </c>
      <c r="F248" s="21" t="str">
        <f t="shared" si="32"/>
        <v/>
      </c>
      <c r="G248" s="24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 spans="2:39" x14ac:dyDescent="0.2">
      <c r="B249" s="22" t="str">
        <f>'Wzorzec kategorii'!B211</f>
        <v>.</v>
      </c>
      <c r="C249" s="19">
        <v>0</v>
      </c>
      <c r="D249" s="20">
        <f>SUM(Tabela1923455963441[#This Row])</f>
        <v>0</v>
      </c>
      <c r="E249" s="20">
        <f t="shared" si="31"/>
        <v>0</v>
      </c>
      <c r="F249" s="21" t="str">
        <f t="shared" si="32"/>
        <v/>
      </c>
      <c r="G249" s="24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 spans="2:39" x14ac:dyDescent="0.2">
      <c r="B250" s="22" t="str">
        <f>'Wzorzec kategorii'!B212</f>
        <v>.</v>
      </c>
      <c r="C250" s="19">
        <v>0</v>
      </c>
      <c r="D250" s="20">
        <f>SUM(Tabela1923455963441[#This Row])</f>
        <v>0</v>
      </c>
      <c r="E250" s="20">
        <f t="shared" si="31"/>
        <v>0</v>
      </c>
      <c r="F250" s="53" t="str">
        <f t="shared" si="32"/>
        <v/>
      </c>
      <c r="G250" s="54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</row>
    <row r="251" spans="2:39" x14ac:dyDescent="0.2">
      <c r="B251" s="22" t="str">
        <f>'Wzorzec kategorii'!B213</f>
        <v>.</v>
      </c>
      <c r="C251" s="19">
        <v>0</v>
      </c>
      <c r="D251" s="20">
        <f>SUM(Tabela1923455963441[#This Row])</f>
        <v>0</v>
      </c>
      <c r="E251" s="20">
        <f t="shared" si="31"/>
        <v>0</v>
      </c>
      <c r="F251" s="53" t="str">
        <f t="shared" si="32"/>
        <v/>
      </c>
      <c r="G251" s="54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</row>
    <row r="252" spans="2:39" x14ac:dyDescent="0.2"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</row>
    <row r="253" spans="2:39" ht="30" x14ac:dyDescent="0.2">
      <c r="C253" s="9" t="s">
        <v>131</v>
      </c>
      <c r="D253" s="10" t="s">
        <v>135</v>
      </c>
      <c r="E253" s="8" t="s">
        <v>129</v>
      </c>
      <c r="I253" s="9" t="s">
        <v>44</v>
      </c>
      <c r="J253" s="9" t="s">
        <v>45</v>
      </c>
      <c r="K253" s="9" t="s">
        <v>46</v>
      </c>
      <c r="L253" s="9" t="s">
        <v>47</v>
      </c>
      <c r="M253" s="9" t="s">
        <v>48</v>
      </c>
      <c r="N253" s="9" t="s">
        <v>49</v>
      </c>
      <c r="O253" s="9" t="s">
        <v>50</v>
      </c>
      <c r="P253" s="9" t="s">
        <v>51</v>
      </c>
      <c r="Q253" s="9" t="s">
        <v>52</v>
      </c>
      <c r="R253" s="9" t="s">
        <v>53</v>
      </c>
      <c r="S253" s="9" t="s">
        <v>54</v>
      </c>
      <c r="T253" s="9" t="s">
        <v>55</v>
      </c>
      <c r="U253" s="9" t="s">
        <v>56</v>
      </c>
      <c r="V253" s="9" t="s">
        <v>57</v>
      </c>
      <c r="W253" s="9" t="s">
        <v>58</v>
      </c>
      <c r="X253" s="9" t="s">
        <v>59</v>
      </c>
      <c r="Y253" s="9" t="s">
        <v>60</v>
      </c>
      <c r="Z253" s="9" t="s">
        <v>61</v>
      </c>
      <c r="AA253" s="9" t="s">
        <v>62</v>
      </c>
      <c r="AB253" s="9" t="s">
        <v>63</v>
      </c>
      <c r="AC253" s="9" t="s">
        <v>64</v>
      </c>
      <c r="AD253" s="9" t="s">
        <v>65</v>
      </c>
      <c r="AE253" s="9" t="s">
        <v>66</v>
      </c>
      <c r="AF253" s="9" t="s">
        <v>67</v>
      </c>
      <c r="AG253" s="9" t="s">
        <v>68</v>
      </c>
      <c r="AH253" s="9" t="s">
        <v>69</v>
      </c>
      <c r="AI253" s="9" t="s">
        <v>70</v>
      </c>
      <c r="AJ253" s="9" t="s">
        <v>71</v>
      </c>
      <c r="AK253" s="9" t="s">
        <v>72</v>
      </c>
      <c r="AL253" s="9" t="s">
        <v>73</v>
      </c>
      <c r="AM253" s="9" t="s">
        <v>74</v>
      </c>
    </row>
    <row r="254" spans="2:39" ht="22" customHeight="1" x14ac:dyDescent="0.2">
      <c r="B254" s="39" t="s">
        <v>31</v>
      </c>
      <c r="C254" s="40">
        <f>C71</f>
        <v>0</v>
      </c>
      <c r="D254" s="40">
        <f>D71</f>
        <v>0</v>
      </c>
      <c r="E254" s="40">
        <f>C254-D254</f>
        <v>0</v>
      </c>
      <c r="G254" s="39" t="s">
        <v>126</v>
      </c>
      <c r="I254" s="43">
        <f>SUM(I73:I251)</f>
        <v>0</v>
      </c>
      <c r="J254" s="43">
        <f>SUM(J73:J251)</f>
        <v>0</v>
      </c>
      <c r="K254" s="43">
        <f>SUM(K73:K251)</f>
        <v>0</v>
      </c>
      <c r="L254" s="43">
        <f t="shared" ref="L254:AM254" si="33">SUM(L73:L251)</f>
        <v>0</v>
      </c>
      <c r="M254" s="43">
        <f t="shared" si="33"/>
        <v>0</v>
      </c>
      <c r="N254" s="43">
        <f t="shared" si="33"/>
        <v>0</v>
      </c>
      <c r="O254" s="43">
        <f t="shared" si="33"/>
        <v>0</v>
      </c>
      <c r="P254" s="43">
        <f t="shared" si="33"/>
        <v>0</v>
      </c>
      <c r="Q254" s="43">
        <f t="shared" si="33"/>
        <v>0</v>
      </c>
      <c r="R254" s="43">
        <f t="shared" si="33"/>
        <v>0</v>
      </c>
      <c r="S254" s="43">
        <f t="shared" si="33"/>
        <v>0</v>
      </c>
      <c r="T254" s="43">
        <f t="shared" si="33"/>
        <v>0</v>
      </c>
      <c r="U254" s="43">
        <f t="shared" si="33"/>
        <v>0</v>
      </c>
      <c r="V254" s="43">
        <f t="shared" si="33"/>
        <v>0</v>
      </c>
      <c r="W254" s="43">
        <f t="shared" si="33"/>
        <v>0</v>
      </c>
      <c r="X254" s="43">
        <f t="shared" si="33"/>
        <v>0</v>
      </c>
      <c r="Y254" s="43">
        <f t="shared" si="33"/>
        <v>0</v>
      </c>
      <c r="Z254" s="43">
        <f t="shared" si="33"/>
        <v>0</v>
      </c>
      <c r="AA254" s="43">
        <f t="shared" si="33"/>
        <v>0</v>
      </c>
      <c r="AB254" s="43">
        <f t="shared" si="33"/>
        <v>0</v>
      </c>
      <c r="AC254" s="43">
        <f t="shared" si="33"/>
        <v>0</v>
      </c>
      <c r="AD254" s="43">
        <f t="shared" si="33"/>
        <v>0</v>
      </c>
      <c r="AE254" s="43">
        <f t="shared" si="33"/>
        <v>0</v>
      </c>
      <c r="AF254" s="43">
        <f t="shared" si="33"/>
        <v>0</v>
      </c>
      <c r="AG254" s="43">
        <f t="shared" si="33"/>
        <v>0</v>
      </c>
      <c r="AH254" s="43">
        <f t="shared" si="33"/>
        <v>0</v>
      </c>
      <c r="AI254" s="43">
        <f t="shared" si="33"/>
        <v>0</v>
      </c>
      <c r="AJ254" s="43">
        <f t="shared" si="33"/>
        <v>0</v>
      </c>
      <c r="AK254" s="43">
        <f t="shared" si="33"/>
        <v>0</v>
      </c>
      <c r="AL254" s="43">
        <f t="shared" si="33"/>
        <v>0</v>
      </c>
      <c r="AM254" s="43">
        <f t="shared" si="33"/>
        <v>0</v>
      </c>
    </row>
    <row r="255" spans="2:39" x14ac:dyDescent="0.2"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</row>
  </sheetData>
  <mergeCells count="27">
    <mergeCell ref="B12:C12"/>
    <mergeCell ref="B2:C2"/>
    <mergeCell ref="D2:E2"/>
    <mergeCell ref="B4:E4"/>
    <mergeCell ref="B9:C9"/>
    <mergeCell ref="B10:C10"/>
    <mergeCell ref="C32:D32"/>
    <mergeCell ref="B16:C16"/>
    <mergeCell ref="B17:C17"/>
    <mergeCell ref="B19:C19"/>
    <mergeCell ref="B21:E21"/>
    <mergeCell ref="B23:D23"/>
    <mergeCell ref="B25:E25"/>
    <mergeCell ref="C27:D27"/>
    <mergeCell ref="C28:D28"/>
    <mergeCell ref="C29:D29"/>
    <mergeCell ref="C30:D30"/>
    <mergeCell ref="C31:D31"/>
    <mergeCell ref="C39:D39"/>
    <mergeCell ref="C40:D40"/>
    <mergeCell ref="C41:D41"/>
    <mergeCell ref="C33:D33"/>
    <mergeCell ref="C34:D34"/>
    <mergeCell ref="C35:D35"/>
    <mergeCell ref="C36:D36"/>
    <mergeCell ref="C37:D37"/>
    <mergeCell ref="C38:D38"/>
  </mergeCells>
  <conditionalFormatting sqref="D73">
    <cfRule type="dataBar" priority="29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{A066AB60-CDF2-5F4E-BC7C-338FB05D248F}</x14:id>
        </ext>
      </extLst>
    </cfRule>
  </conditionalFormatting>
  <conditionalFormatting sqref="D85">
    <cfRule type="dataBar" priority="28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{C49D38D5-BCE6-3243-A2F8-8741C360E598}</x14:id>
        </ext>
      </extLst>
    </cfRule>
  </conditionalFormatting>
  <conditionalFormatting sqref="B23:D23">
    <cfRule type="dataBar" priority="27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{B4C52848-808D-0643-BCCD-598355143D8F}</x14:id>
        </ext>
      </extLst>
    </cfRule>
  </conditionalFormatting>
  <conditionalFormatting sqref="C27:D27">
    <cfRule type="dataBar" priority="26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{4DD6EB7E-F58B-774C-9E39-139F867F6A2E}</x14:id>
        </ext>
      </extLst>
    </cfRule>
  </conditionalFormatting>
  <conditionalFormatting sqref="D97">
    <cfRule type="dataBar" priority="25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{C40C917A-71B9-124A-AB90-F7DF5830470B}</x14:id>
        </ext>
      </extLst>
    </cfRule>
  </conditionalFormatting>
  <conditionalFormatting sqref="C28:D28">
    <cfRule type="dataBar" priority="24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{21B6E808-DBA2-7842-A1EC-17059CD1A0E0}</x14:id>
        </ext>
      </extLst>
    </cfRule>
  </conditionalFormatting>
  <conditionalFormatting sqref="C29:D29">
    <cfRule type="dataBar" priority="23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{B18A39EC-FDE5-8241-8963-72135826DA42}</x14:id>
        </ext>
      </extLst>
    </cfRule>
  </conditionalFormatting>
  <conditionalFormatting sqref="C30:D30">
    <cfRule type="dataBar" priority="22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{E290E467-4AE5-D345-B6E1-187D886580DB}</x14:id>
        </ext>
      </extLst>
    </cfRule>
  </conditionalFormatting>
  <conditionalFormatting sqref="C31:D31">
    <cfRule type="dataBar" priority="21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{440067B8-86CC-0A41-8FA2-C884609D8E17}</x14:id>
        </ext>
      </extLst>
    </cfRule>
  </conditionalFormatting>
  <conditionalFormatting sqref="C32:D32">
    <cfRule type="dataBar" priority="20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{BABA31A3-820C-3641-A748-001838F54DF3}</x14:id>
        </ext>
      </extLst>
    </cfRule>
  </conditionalFormatting>
  <conditionalFormatting sqref="C33:D33">
    <cfRule type="dataBar" priority="19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{E27EC9DF-B236-7646-AADF-58AA5AEDF67D}</x14:id>
        </ext>
      </extLst>
    </cfRule>
  </conditionalFormatting>
  <conditionalFormatting sqref="C34:D34">
    <cfRule type="dataBar" priority="18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{8055A1F4-7D51-1349-80E8-A363AB610EC1}</x14:id>
        </ext>
      </extLst>
    </cfRule>
  </conditionalFormatting>
  <conditionalFormatting sqref="C35:D35">
    <cfRule type="dataBar" priority="17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{FA88F81F-0ED9-F646-B260-F0014385835A}</x14:id>
        </ext>
      </extLst>
    </cfRule>
  </conditionalFormatting>
  <conditionalFormatting sqref="C36:D36">
    <cfRule type="dataBar" priority="16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{65950331-5E0B-9746-BB2E-FF86424D67A9}</x14:id>
        </ext>
      </extLst>
    </cfRule>
  </conditionalFormatting>
  <conditionalFormatting sqref="C37:D37">
    <cfRule type="dataBar" priority="15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{B706F67A-DBF9-9648-9361-BDD82C91581A}</x14:id>
        </ext>
      </extLst>
    </cfRule>
  </conditionalFormatting>
  <conditionalFormatting sqref="C38:D41">
    <cfRule type="dataBar" priority="14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{D5808E00-387D-9F48-BC1D-9DC1397584C1}</x14:id>
        </ext>
      </extLst>
    </cfRule>
  </conditionalFormatting>
  <conditionalFormatting sqref="D109">
    <cfRule type="dataBar" priority="13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{540DA15F-4546-FB42-AB49-B20B6027D7E7}</x14:id>
        </ext>
      </extLst>
    </cfRule>
  </conditionalFormatting>
  <conditionalFormatting sqref="D121">
    <cfRule type="dataBar" priority="12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{7F2B4CE7-CA52-374F-AB6F-C3E44EC221FB}</x14:id>
        </ext>
      </extLst>
    </cfRule>
  </conditionalFormatting>
  <conditionalFormatting sqref="D133">
    <cfRule type="dataBar" priority="11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{EFA4127D-DA65-9346-850A-88E6AF4DED72}</x14:id>
        </ext>
      </extLst>
    </cfRule>
  </conditionalFormatting>
  <conditionalFormatting sqref="D145">
    <cfRule type="dataBar" priority="10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{23A4B1FB-96BB-5E4F-A76A-6A8E75613188}</x14:id>
        </ext>
      </extLst>
    </cfRule>
  </conditionalFormatting>
  <conditionalFormatting sqref="D157">
    <cfRule type="dataBar" priority="9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{8E12F02D-2936-6444-98F6-30E521E8B942}</x14:id>
        </ext>
      </extLst>
    </cfRule>
  </conditionalFormatting>
  <conditionalFormatting sqref="D169">
    <cfRule type="dataBar" priority="8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{38A54A37-F973-784F-8C8E-2CC512A289D1}</x14:id>
        </ext>
      </extLst>
    </cfRule>
  </conditionalFormatting>
  <conditionalFormatting sqref="D181">
    <cfRule type="dataBar" priority="7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{8ADD273B-004E-C844-9D26-B923187057A6}</x14:id>
        </ext>
      </extLst>
    </cfRule>
  </conditionalFormatting>
  <conditionalFormatting sqref="D193">
    <cfRule type="dataBar" priority="6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{F0FB0BE6-7A6C-864E-B912-3DBEB576DC91}</x14:id>
        </ext>
      </extLst>
    </cfRule>
  </conditionalFormatting>
  <conditionalFormatting sqref="D205">
    <cfRule type="dataBar" priority="5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{CCC9C91E-971A-0842-9CA6-10F0E937125E}</x14:id>
        </ext>
      </extLst>
    </cfRule>
  </conditionalFormatting>
  <conditionalFormatting sqref="D51">
    <cfRule type="dataBar" priority="4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{67C2948E-0883-D446-8A5C-DBB8A963F7E2}</x14:id>
        </ext>
      </extLst>
    </cfRule>
  </conditionalFormatting>
  <conditionalFormatting sqref="D217">
    <cfRule type="dataBar" priority="3">
      <dataBar>
        <cfvo type="num" val="0"/>
        <cfvo type="formula" val="$C$217"/>
        <color rgb="FF92D050"/>
      </dataBar>
      <extLst>
        <ext xmlns:x14="http://schemas.microsoft.com/office/spreadsheetml/2009/9/main" uri="{B025F937-C7B1-47D3-B67F-A62EFF666E3E}">
          <x14:id>{F7DAFD3E-0994-1843-936E-97B940A4FA61}</x14:id>
        </ext>
      </extLst>
    </cfRule>
  </conditionalFormatting>
  <conditionalFormatting sqref="D229">
    <cfRule type="dataBar" priority="2">
      <dataBar>
        <cfvo type="num" val="0"/>
        <cfvo type="formula" val="$C$229"/>
        <color rgb="FF92D050"/>
      </dataBar>
      <extLst>
        <ext xmlns:x14="http://schemas.microsoft.com/office/spreadsheetml/2009/9/main" uri="{B025F937-C7B1-47D3-B67F-A62EFF666E3E}">
          <x14:id>{F912BAE4-D82F-D649-81A2-53A6A5C3EBF6}</x14:id>
        </ext>
      </extLst>
    </cfRule>
  </conditionalFormatting>
  <conditionalFormatting sqref="D241">
    <cfRule type="dataBar" priority="1">
      <dataBar>
        <cfvo type="num" val="0"/>
        <cfvo type="formula" val="$C$241"/>
        <color rgb="FF92D050"/>
      </dataBar>
      <extLst>
        <ext xmlns:x14="http://schemas.microsoft.com/office/spreadsheetml/2009/9/main" uri="{B025F937-C7B1-47D3-B67F-A62EFF666E3E}">
          <x14:id>{B2B5837F-B823-C44F-8E49-EA0D517C3178}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066AB60-CDF2-5F4E-BC7C-338FB05D248F}">
            <x14:dataBar minLength="0" maxLength="100" gradient="0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C49D38D5-BCE6-3243-A2F8-8741C360E598}">
            <x14:dataBar minLength="0" maxLength="100" gradient="0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B4C52848-808D-0643-BCCD-598355143D8F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4DD6EB7E-F58B-774C-9E39-139F867F6A2E}">
            <x14:dataBar minLength="0" maxLength="100" gradient="0" direction="leftToRight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C40C917A-71B9-124A-AB90-F7DF5830470B}">
            <x14:dataBar minLength="0" maxLength="100" gradient="0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21B6E808-DBA2-7842-A1EC-17059CD1A0E0}">
            <x14:dataBar minLength="0" maxLength="100" gradient="0" direction="leftToRight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B18A39EC-FDE5-8241-8963-72135826DA42}">
            <x14:dataBar minLength="0" maxLength="100" gradient="0" direction="leftToRight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E290E467-4AE5-D345-B6E1-187D886580DB}">
            <x14:dataBar minLength="0" maxLength="100" gradient="0" direction="leftToRight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440067B8-86CC-0A41-8FA2-C884609D8E17}">
            <x14:dataBar minLength="0" maxLength="100" gradient="0" direction="leftToRight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BABA31A3-820C-3641-A748-001838F54DF3}">
            <x14:dataBar minLength="0" maxLength="100" gradient="0" direction="leftToRight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E27EC9DF-B236-7646-AADF-58AA5AEDF67D}">
            <x14:dataBar minLength="0" maxLength="100" gradient="0" direction="leftToRight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8055A1F4-7D51-1349-80E8-A363AB610EC1}">
            <x14:dataBar minLength="0" maxLength="100" gradient="0" direction="leftToRight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FA88F81F-0ED9-F646-B260-F0014385835A}">
            <x14:dataBar minLength="0" maxLength="100" gradient="0" direction="leftToRight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65950331-5E0B-9746-BB2E-FF86424D67A9}">
            <x14:dataBar minLength="0" maxLength="100" gradient="0" direction="leftToRight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B706F67A-DBF9-9648-9361-BDD82C91581A}">
            <x14:dataBar minLength="0" maxLength="100" gradient="0" direction="leftToRight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D5808E00-387D-9F48-BC1D-9DC1397584C1}">
            <x14:dataBar minLength="0" maxLength="100" gradient="0" direction="leftToRight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C38:D41</xm:sqref>
        </x14:conditionalFormatting>
        <x14:conditionalFormatting xmlns:xm="http://schemas.microsoft.com/office/excel/2006/main">
          <x14:cfRule type="dataBar" id="{540DA15F-4546-FB42-AB49-B20B6027D7E7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D109</xm:sqref>
        </x14:conditionalFormatting>
        <x14:conditionalFormatting xmlns:xm="http://schemas.microsoft.com/office/excel/2006/main">
          <x14:cfRule type="dataBar" id="{7F2B4CE7-CA52-374F-AB6F-C3E44EC221FB}">
            <x14:dataBar minLength="0" maxLength="100" gradient="0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D121</xm:sqref>
        </x14:conditionalFormatting>
        <x14:conditionalFormatting xmlns:xm="http://schemas.microsoft.com/office/excel/2006/main">
          <x14:cfRule type="dataBar" id="{EFA4127D-DA65-9346-850A-88E6AF4DED72}">
            <x14:dataBar minLength="0" maxLength="100" gradient="0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23A4B1FB-96BB-5E4F-A76A-6A8E75613188}">
            <x14:dataBar minLength="0" maxLength="100" gradient="0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8E12F02D-2936-6444-98F6-30E521E8B942}">
            <x14:dataBar minLength="0" maxLength="100" gradient="0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38A54A37-F973-784F-8C8E-2CC512A289D1}">
            <x14:dataBar minLength="0" maxLength="100" gradient="0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8ADD273B-004E-C844-9D26-B923187057A6}">
            <x14:dataBar minLength="0" maxLength="100" gradient="0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F0FB0BE6-7A6C-864E-B912-3DBEB576DC91}">
            <x14:dataBar minLength="0" maxLength="100" gradient="0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D193</xm:sqref>
        </x14:conditionalFormatting>
        <x14:conditionalFormatting xmlns:xm="http://schemas.microsoft.com/office/excel/2006/main">
          <x14:cfRule type="dataBar" id="{CCC9C91E-971A-0842-9CA6-10F0E937125E}">
            <x14:dataBar minLength="0" maxLength="100" gradient="0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D205</xm:sqref>
        </x14:conditionalFormatting>
        <x14:conditionalFormatting xmlns:xm="http://schemas.microsoft.com/office/excel/2006/main">
          <x14:cfRule type="dataBar" id="{67C2948E-0883-D446-8A5C-DBB8A963F7E2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F7DAFD3E-0994-1843-936E-97B940A4FA61}">
            <x14:dataBar minLength="0" maxLength="100" gradient="0">
              <x14:cfvo type="num">
                <xm:f>0</xm:f>
              </x14:cfvo>
              <x14:cfvo type="formula">
                <xm:f>$C$217</xm:f>
              </x14:cfvo>
              <x14:negativeFillColor rgb="FFFF0000"/>
              <x14:axisColor rgb="FF000000"/>
            </x14:dataBar>
          </x14:cfRule>
          <xm:sqref>D217</xm:sqref>
        </x14:conditionalFormatting>
        <x14:conditionalFormatting xmlns:xm="http://schemas.microsoft.com/office/excel/2006/main">
          <x14:cfRule type="dataBar" id="{F912BAE4-D82F-D649-81A2-53A6A5C3EBF6}">
            <x14:dataBar minLength="0" maxLength="100" gradient="0">
              <x14:cfvo type="num">
                <xm:f>0</xm:f>
              </x14:cfvo>
              <x14:cfvo type="formula">
                <xm:f>$C$229</xm:f>
              </x14:cfvo>
              <x14:negativeFillColor rgb="FFFF0000"/>
              <x14:axisColor rgb="FF000000"/>
            </x14:dataBar>
          </x14:cfRule>
          <xm:sqref>D229</xm:sqref>
        </x14:conditionalFormatting>
        <x14:conditionalFormatting xmlns:xm="http://schemas.microsoft.com/office/excel/2006/main">
          <x14:cfRule type="dataBar" id="{B2B5837F-B823-C44F-8E49-EA0D517C3178}">
            <x14:dataBar minLength="0" maxLength="100" gradient="0">
              <x14:cfvo type="num">
                <xm:f>0</xm:f>
              </x14:cfvo>
              <x14:cfvo type="formula">
                <xm:f>$C$241</xm:f>
              </x14:cfvo>
              <x14:negativeFillColor rgb="FFFF0000"/>
              <x14:axisColor rgb="FF000000"/>
            </x14:dataBar>
          </x14:cfRule>
          <xm:sqref>D241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 enableFormatConditionsCalculation="0"/>
  <dimension ref="B2:E213"/>
  <sheetViews>
    <sheetView showGridLines="0" tabSelected="1" workbookViewId="0">
      <selection activeCell="E2" sqref="E2"/>
    </sheetView>
  </sheetViews>
  <sheetFormatPr baseColWidth="10" defaultColWidth="8.83203125" defaultRowHeight="15" outlineLevelRow="1" x14ac:dyDescent="0.2"/>
  <cols>
    <col min="1" max="1" width="1.6640625" customWidth="1"/>
    <col min="2" max="2" width="25" customWidth="1"/>
    <col min="3" max="3" width="48.6640625" customWidth="1"/>
    <col min="5" max="5" width="44" customWidth="1"/>
  </cols>
  <sheetData>
    <row r="2" spans="2:3" ht="24" x14ac:dyDescent="0.3">
      <c r="B2" s="66" t="s">
        <v>149</v>
      </c>
      <c r="C2" s="66"/>
    </row>
    <row r="3" spans="2:3" x14ac:dyDescent="0.2">
      <c r="B3" s="18"/>
      <c r="C3" s="18"/>
    </row>
    <row r="4" spans="2:3" ht="63" customHeight="1" outlineLevel="1" x14ac:dyDescent="0.2">
      <c r="B4" s="71" t="s">
        <v>153</v>
      </c>
      <c r="C4" s="71"/>
    </row>
    <row r="5" spans="2:3" outlineLevel="1" x14ac:dyDescent="0.2">
      <c r="B5" s="41" t="s">
        <v>147</v>
      </c>
      <c r="C5" s="45" t="s">
        <v>148</v>
      </c>
    </row>
    <row r="6" spans="2:3" outlineLevel="1" x14ac:dyDescent="0.2">
      <c r="B6" s="18"/>
      <c r="C6" s="18"/>
    </row>
    <row r="7" spans="2:3" x14ac:dyDescent="0.2">
      <c r="B7" s="18"/>
      <c r="C7" s="18"/>
    </row>
    <row r="8" spans="2:3" ht="22" thickBot="1" x14ac:dyDescent="0.3">
      <c r="B8" s="32" t="s">
        <v>150</v>
      </c>
      <c r="C8" s="33"/>
    </row>
    <row r="10" spans="2:3" ht="19" x14ac:dyDescent="0.25">
      <c r="B10" s="44" t="s">
        <v>26</v>
      </c>
    </row>
    <row r="11" spans="2:3" x14ac:dyDescent="0.2">
      <c r="B11" s="1"/>
    </row>
    <row r="12" spans="2:3" x14ac:dyDescent="0.2">
      <c r="B12" s="8" t="s">
        <v>0</v>
      </c>
      <c r="C12" s="8" t="s">
        <v>41</v>
      </c>
    </row>
    <row r="13" spans="2:3" x14ac:dyDescent="0.2">
      <c r="B13" s="1"/>
    </row>
    <row r="14" spans="2:3" x14ac:dyDescent="0.2">
      <c r="B14" s="14" t="s">
        <v>32</v>
      </c>
      <c r="C14" s="15"/>
    </row>
    <row r="15" spans="2:3" x14ac:dyDescent="0.2">
      <c r="B15" s="59" t="s">
        <v>34</v>
      </c>
      <c r="C15" s="47"/>
    </row>
    <row r="16" spans="2:3" ht="30" x14ac:dyDescent="0.2">
      <c r="B16" s="59" t="s">
        <v>35</v>
      </c>
      <c r="C16" s="47"/>
    </row>
    <row r="17" spans="2:3" x14ac:dyDescent="0.2">
      <c r="B17" s="59" t="s">
        <v>38</v>
      </c>
      <c r="C17" s="47"/>
    </row>
    <row r="18" spans="2:3" x14ac:dyDescent="0.2">
      <c r="B18" s="59" t="s">
        <v>36</v>
      </c>
      <c r="C18" s="47"/>
    </row>
    <row r="19" spans="2:3" x14ac:dyDescent="0.2">
      <c r="B19" s="59" t="s">
        <v>37</v>
      </c>
      <c r="C19" s="47"/>
    </row>
    <row r="20" spans="2:3" x14ac:dyDescent="0.2">
      <c r="B20" s="59" t="s">
        <v>39</v>
      </c>
      <c r="C20" s="47"/>
    </row>
    <row r="21" spans="2:3" x14ac:dyDescent="0.2">
      <c r="B21" s="59" t="s">
        <v>40</v>
      </c>
      <c r="C21" s="47"/>
    </row>
    <row r="22" spans="2:3" x14ac:dyDescent="0.2">
      <c r="B22" s="59" t="s">
        <v>172</v>
      </c>
      <c r="C22" s="47"/>
    </row>
    <row r="23" spans="2:3" x14ac:dyDescent="0.2">
      <c r="B23" s="59" t="s">
        <v>172</v>
      </c>
      <c r="C23" s="47"/>
    </row>
    <row r="24" spans="2:3" x14ac:dyDescent="0.2">
      <c r="B24" s="59" t="s">
        <v>172</v>
      </c>
      <c r="C24" s="47"/>
    </row>
    <row r="25" spans="2:3" x14ac:dyDescent="0.2">
      <c r="B25" s="59" t="s">
        <v>172</v>
      </c>
      <c r="C25" s="47"/>
    </row>
    <row r="26" spans="2:3" x14ac:dyDescent="0.2">
      <c r="B26" s="59" t="s">
        <v>172</v>
      </c>
      <c r="C26" s="47"/>
    </row>
    <row r="27" spans="2:3" x14ac:dyDescent="0.2">
      <c r="B27" s="59" t="s">
        <v>172</v>
      </c>
      <c r="C27" s="47"/>
    </row>
    <row r="28" spans="2:3" x14ac:dyDescent="0.2">
      <c r="B28" s="59" t="s">
        <v>172</v>
      </c>
      <c r="C28" s="47"/>
    </row>
    <row r="29" spans="2:3" x14ac:dyDescent="0.2">
      <c r="B29" s="59" t="s">
        <v>172</v>
      </c>
      <c r="C29" s="47"/>
    </row>
    <row r="30" spans="2:3" x14ac:dyDescent="0.2">
      <c r="B30" s="5" t="s">
        <v>30</v>
      </c>
    </row>
    <row r="31" spans="2:3" ht="19" x14ac:dyDescent="0.25">
      <c r="B31" s="44" t="s">
        <v>25</v>
      </c>
    </row>
    <row r="33" spans="2:3" x14ac:dyDescent="0.2">
      <c r="B33" s="8" t="s">
        <v>0</v>
      </c>
      <c r="C33" s="8" t="s">
        <v>41</v>
      </c>
    </row>
    <row r="35" spans="2:3" x14ac:dyDescent="0.2">
      <c r="B35" s="14" t="s">
        <v>1</v>
      </c>
      <c r="C35" s="15"/>
    </row>
    <row r="36" spans="2:3" x14ac:dyDescent="0.2">
      <c r="B36" s="56" t="s">
        <v>2</v>
      </c>
      <c r="C36" s="47"/>
    </row>
    <row r="37" spans="2:3" x14ac:dyDescent="0.2">
      <c r="B37" s="56" t="s">
        <v>3</v>
      </c>
      <c r="C37" s="47"/>
    </row>
    <row r="38" spans="2:3" x14ac:dyDescent="0.2">
      <c r="B38" s="56" t="s">
        <v>4</v>
      </c>
      <c r="C38" s="47"/>
    </row>
    <row r="39" spans="2:3" x14ac:dyDescent="0.2">
      <c r="B39" s="56" t="s">
        <v>5</v>
      </c>
      <c r="C39" s="47"/>
    </row>
    <row r="40" spans="2:3" x14ac:dyDescent="0.2">
      <c r="B40" s="56" t="s">
        <v>9</v>
      </c>
      <c r="C40" s="47"/>
    </row>
    <row r="41" spans="2:3" x14ac:dyDescent="0.2">
      <c r="B41" s="56" t="s">
        <v>172</v>
      </c>
      <c r="C41" s="49"/>
    </row>
    <row r="42" spans="2:3" x14ac:dyDescent="0.2">
      <c r="B42" s="56" t="s">
        <v>172</v>
      </c>
      <c r="C42" s="49"/>
    </row>
    <row r="43" spans="2:3" x14ac:dyDescent="0.2">
      <c r="B43" s="56" t="s">
        <v>172</v>
      </c>
      <c r="C43" s="49"/>
    </row>
    <row r="44" spans="2:3" x14ac:dyDescent="0.2">
      <c r="B44" s="56" t="s">
        <v>172</v>
      </c>
      <c r="C44" s="49"/>
    </row>
    <row r="45" spans="2:3" x14ac:dyDescent="0.2">
      <c r="B45" s="56" t="s">
        <v>172</v>
      </c>
      <c r="C45" s="49"/>
    </row>
    <row r="46" spans="2:3" x14ac:dyDescent="0.2">
      <c r="B46" s="5" t="s">
        <v>30</v>
      </c>
      <c r="C46" s="6"/>
    </row>
    <row r="47" spans="2:3" x14ac:dyDescent="0.2">
      <c r="B47" s="14" t="s">
        <v>10</v>
      </c>
      <c r="C47" s="15"/>
    </row>
    <row r="48" spans="2:3" x14ac:dyDescent="0.2">
      <c r="B48" s="56" t="s">
        <v>11</v>
      </c>
      <c r="C48" s="47"/>
    </row>
    <row r="49" spans="2:3" x14ac:dyDescent="0.2">
      <c r="B49" s="56" t="s">
        <v>14</v>
      </c>
      <c r="C49" s="47"/>
    </row>
    <row r="50" spans="2:3" x14ac:dyDescent="0.2">
      <c r="B50" s="56" t="s">
        <v>12</v>
      </c>
      <c r="C50" s="47"/>
    </row>
    <row r="51" spans="2:3" x14ac:dyDescent="0.2">
      <c r="B51" s="56" t="s">
        <v>13</v>
      </c>
      <c r="C51" s="47"/>
    </row>
    <row r="52" spans="2:3" x14ac:dyDescent="0.2">
      <c r="B52" s="56" t="s">
        <v>33</v>
      </c>
      <c r="C52" s="47"/>
    </row>
    <row r="53" spans="2:3" x14ac:dyDescent="0.2">
      <c r="B53" s="56" t="s">
        <v>15</v>
      </c>
      <c r="C53" s="47"/>
    </row>
    <row r="54" spans="2:3" x14ac:dyDescent="0.2">
      <c r="B54" s="56" t="s">
        <v>16</v>
      </c>
      <c r="C54" s="47"/>
    </row>
    <row r="55" spans="2:3" x14ac:dyDescent="0.2">
      <c r="B55" s="56" t="s">
        <v>17</v>
      </c>
      <c r="C55" s="47"/>
    </row>
    <row r="56" spans="2:3" x14ac:dyDescent="0.2">
      <c r="B56" s="56" t="s">
        <v>104</v>
      </c>
      <c r="C56" s="47"/>
    </row>
    <row r="57" spans="2:3" x14ac:dyDescent="0.2">
      <c r="B57" s="56" t="s">
        <v>9</v>
      </c>
      <c r="C57" s="47"/>
    </row>
    <row r="58" spans="2:3" x14ac:dyDescent="0.2">
      <c r="B58" s="5" t="s">
        <v>30</v>
      </c>
      <c r="C58" s="6"/>
    </row>
    <row r="59" spans="2:3" x14ac:dyDescent="0.2">
      <c r="B59" s="2" t="s">
        <v>6</v>
      </c>
      <c r="C59" s="3"/>
    </row>
    <row r="60" spans="2:3" x14ac:dyDescent="0.2">
      <c r="B60" s="56" t="s">
        <v>91</v>
      </c>
      <c r="C60" s="47"/>
    </row>
    <row r="61" spans="2:3" x14ac:dyDescent="0.2">
      <c r="B61" s="56" t="s">
        <v>92</v>
      </c>
      <c r="C61" s="47"/>
    </row>
    <row r="62" spans="2:3" ht="30" x14ac:dyDescent="0.2">
      <c r="B62" s="56" t="s">
        <v>89</v>
      </c>
      <c r="C62" s="47"/>
    </row>
    <row r="63" spans="2:3" x14ac:dyDescent="0.2">
      <c r="B63" s="56" t="s">
        <v>90</v>
      </c>
      <c r="C63" s="47"/>
    </row>
    <row r="64" spans="2:3" x14ac:dyDescent="0.2">
      <c r="B64" s="56" t="s">
        <v>7</v>
      </c>
      <c r="C64" s="47"/>
    </row>
    <row r="65" spans="2:3" x14ac:dyDescent="0.2">
      <c r="B65" s="56" t="s">
        <v>93</v>
      </c>
      <c r="C65" s="47"/>
    </row>
    <row r="66" spans="2:3" x14ac:dyDescent="0.2">
      <c r="B66" s="56" t="s">
        <v>8</v>
      </c>
      <c r="C66" s="47"/>
    </row>
    <row r="67" spans="2:3" x14ac:dyDescent="0.2">
      <c r="B67" s="56" t="s">
        <v>9</v>
      </c>
      <c r="C67" s="47"/>
    </row>
    <row r="68" spans="2:3" x14ac:dyDescent="0.2">
      <c r="B68" s="56" t="s">
        <v>172</v>
      </c>
      <c r="C68" s="49"/>
    </row>
    <row r="69" spans="2:3" x14ac:dyDescent="0.2">
      <c r="B69" s="56" t="s">
        <v>172</v>
      </c>
      <c r="C69" s="49"/>
    </row>
    <row r="70" spans="2:3" x14ac:dyDescent="0.2">
      <c r="B70" s="5" t="s">
        <v>30</v>
      </c>
    </row>
    <row r="71" spans="2:3" x14ac:dyDescent="0.2">
      <c r="B71" s="2" t="s">
        <v>75</v>
      </c>
      <c r="C71" s="3"/>
    </row>
    <row r="72" spans="2:3" x14ac:dyDescent="0.2">
      <c r="B72" s="56" t="s">
        <v>76</v>
      </c>
      <c r="C72" s="47"/>
    </row>
    <row r="73" spans="2:3" x14ac:dyDescent="0.2">
      <c r="B73" s="56" t="s">
        <v>77</v>
      </c>
      <c r="C73" s="47"/>
    </row>
    <row r="74" spans="2:3" x14ac:dyDescent="0.2">
      <c r="B74" s="56" t="s">
        <v>78</v>
      </c>
      <c r="C74" s="47"/>
    </row>
    <row r="75" spans="2:3" x14ac:dyDescent="0.2">
      <c r="B75" s="56" t="s">
        <v>79</v>
      </c>
      <c r="C75" s="47"/>
    </row>
    <row r="76" spans="2:3" x14ac:dyDescent="0.2">
      <c r="B76" s="56" t="s">
        <v>9</v>
      </c>
      <c r="C76" s="47"/>
    </row>
    <row r="77" spans="2:3" x14ac:dyDescent="0.2">
      <c r="B77" s="56" t="s">
        <v>172</v>
      </c>
      <c r="C77" s="49"/>
    </row>
    <row r="78" spans="2:3" x14ac:dyDescent="0.2">
      <c r="B78" s="56" t="s">
        <v>172</v>
      </c>
      <c r="C78" s="49"/>
    </row>
    <row r="79" spans="2:3" x14ac:dyDescent="0.2">
      <c r="B79" s="56" t="s">
        <v>172</v>
      </c>
      <c r="C79" s="49"/>
    </row>
    <row r="80" spans="2:3" x14ac:dyDescent="0.2">
      <c r="B80" s="56" t="s">
        <v>172</v>
      </c>
      <c r="C80" s="49"/>
    </row>
    <row r="81" spans="2:5" x14ac:dyDescent="0.2">
      <c r="B81" s="56" t="s">
        <v>172</v>
      </c>
      <c r="C81" s="49"/>
    </row>
    <row r="83" spans="2:5" x14ac:dyDescent="0.2">
      <c r="B83" s="2" t="s">
        <v>98</v>
      </c>
      <c r="C83" s="3"/>
      <c r="E83" s="25"/>
    </row>
    <row r="84" spans="2:5" x14ac:dyDescent="0.2">
      <c r="B84" s="56" t="s">
        <v>99</v>
      </c>
      <c r="C84" s="47"/>
    </row>
    <row r="85" spans="2:5" x14ac:dyDescent="0.2">
      <c r="B85" s="56" t="s">
        <v>100</v>
      </c>
      <c r="C85" s="47"/>
    </row>
    <row r="86" spans="2:5" x14ac:dyDescent="0.2">
      <c r="B86" s="56" t="s">
        <v>101</v>
      </c>
      <c r="C86" s="47"/>
    </row>
    <row r="87" spans="2:5" x14ac:dyDescent="0.2">
      <c r="B87" s="56" t="s">
        <v>9</v>
      </c>
      <c r="C87" s="47"/>
    </row>
    <row r="88" spans="2:5" x14ac:dyDescent="0.2">
      <c r="B88" s="56" t="s">
        <v>172</v>
      </c>
      <c r="C88" s="49"/>
    </row>
    <row r="89" spans="2:5" x14ac:dyDescent="0.2">
      <c r="B89" s="56" t="s">
        <v>172</v>
      </c>
      <c r="C89" s="49"/>
    </row>
    <row r="90" spans="2:5" x14ac:dyDescent="0.2">
      <c r="B90" s="56" t="s">
        <v>172</v>
      </c>
      <c r="C90" s="49"/>
    </row>
    <row r="91" spans="2:5" x14ac:dyDescent="0.2">
      <c r="B91" s="56" t="s">
        <v>172</v>
      </c>
      <c r="C91" s="49"/>
    </row>
    <row r="92" spans="2:5" x14ac:dyDescent="0.2">
      <c r="B92" s="56" t="s">
        <v>172</v>
      </c>
      <c r="C92" s="49"/>
    </row>
    <row r="93" spans="2:5" x14ac:dyDescent="0.2">
      <c r="B93" s="56" t="s">
        <v>172</v>
      </c>
      <c r="C93" s="49"/>
    </row>
    <row r="94" spans="2:5" x14ac:dyDescent="0.2">
      <c r="B94" s="13"/>
    </row>
    <row r="95" spans="2:5" x14ac:dyDescent="0.2">
      <c r="B95" s="2" t="s">
        <v>18</v>
      </c>
      <c r="C95" s="3"/>
    </row>
    <row r="96" spans="2:5" x14ac:dyDescent="0.2">
      <c r="B96" s="56" t="s">
        <v>125</v>
      </c>
      <c r="C96" s="47"/>
    </row>
    <row r="97" spans="2:3" x14ac:dyDescent="0.2">
      <c r="B97" s="56" t="s">
        <v>83</v>
      </c>
      <c r="C97" s="47"/>
    </row>
    <row r="98" spans="2:3" x14ac:dyDescent="0.2">
      <c r="B98" s="56" t="s">
        <v>82</v>
      </c>
      <c r="C98" s="47"/>
    </row>
    <row r="99" spans="2:3" x14ac:dyDescent="0.2">
      <c r="B99" s="56" t="s">
        <v>84</v>
      </c>
      <c r="C99" s="47"/>
    </row>
    <row r="100" spans="2:3" x14ac:dyDescent="0.2">
      <c r="B100" s="56" t="s">
        <v>9</v>
      </c>
      <c r="C100" s="47"/>
    </row>
    <row r="101" spans="2:3" x14ac:dyDescent="0.2">
      <c r="B101" s="56" t="s">
        <v>172</v>
      </c>
      <c r="C101" s="49"/>
    </row>
    <row r="102" spans="2:3" x14ac:dyDescent="0.2">
      <c r="B102" s="56" t="s">
        <v>172</v>
      </c>
      <c r="C102" s="49"/>
    </row>
    <row r="103" spans="2:3" x14ac:dyDescent="0.2">
      <c r="B103" s="56" t="s">
        <v>172</v>
      </c>
      <c r="C103" s="49"/>
    </row>
    <row r="104" spans="2:3" x14ac:dyDescent="0.2">
      <c r="B104" s="56" t="s">
        <v>172</v>
      </c>
      <c r="C104" s="49"/>
    </row>
    <row r="105" spans="2:3" x14ac:dyDescent="0.2">
      <c r="B105" s="56" t="s">
        <v>172</v>
      </c>
      <c r="C105" s="49"/>
    </row>
    <row r="106" spans="2:3" x14ac:dyDescent="0.2">
      <c r="B106" s="5" t="s">
        <v>30</v>
      </c>
    </row>
    <row r="107" spans="2:3" x14ac:dyDescent="0.2">
      <c r="B107" s="2" t="s">
        <v>80</v>
      </c>
      <c r="C107" s="3"/>
    </row>
    <row r="108" spans="2:3" x14ac:dyDescent="0.2">
      <c r="B108" s="56" t="s">
        <v>81</v>
      </c>
      <c r="C108" s="47"/>
    </row>
    <row r="109" spans="2:3" x14ac:dyDescent="0.2">
      <c r="B109" s="56" t="s">
        <v>86</v>
      </c>
      <c r="C109" s="47"/>
    </row>
    <row r="110" spans="2:3" x14ac:dyDescent="0.2">
      <c r="B110" s="56" t="s">
        <v>87</v>
      </c>
      <c r="C110" s="47"/>
    </row>
    <row r="111" spans="2:3" x14ac:dyDescent="0.2">
      <c r="B111" s="56" t="s">
        <v>88</v>
      </c>
      <c r="C111" s="47"/>
    </row>
    <row r="112" spans="2:3" x14ac:dyDescent="0.2">
      <c r="B112" s="56" t="s">
        <v>9</v>
      </c>
      <c r="C112" s="47"/>
    </row>
    <row r="113" spans="2:3" x14ac:dyDescent="0.2">
      <c r="B113" s="56" t="s">
        <v>172</v>
      </c>
      <c r="C113" s="49"/>
    </row>
    <row r="114" spans="2:3" x14ac:dyDescent="0.2">
      <c r="B114" s="56" t="s">
        <v>172</v>
      </c>
      <c r="C114" s="49"/>
    </row>
    <row r="115" spans="2:3" x14ac:dyDescent="0.2">
      <c r="B115" s="56" t="s">
        <v>172</v>
      </c>
      <c r="C115" s="49"/>
    </row>
    <row r="116" spans="2:3" x14ac:dyDescent="0.2">
      <c r="B116" s="56" t="s">
        <v>172</v>
      </c>
      <c r="C116" s="49"/>
    </row>
    <row r="117" spans="2:3" x14ac:dyDescent="0.2">
      <c r="B117" s="56" t="s">
        <v>172</v>
      </c>
      <c r="C117" s="49"/>
    </row>
    <row r="118" spans="2:3" x14ac:dyDescent="0.2">
      <c r="B118" s="5" t="s">
        <v>30</v>
      </c>
    </row>
    <row r="119" spans="2:3" x14ac:dyDescent="0.2">
      <c r="B119" s="2" t="s">
        <v>103</v>
      </c>
      <c r="C119" s="3"/>
    </row>
    <row r="120" spans="2:3" x14ac:dyDescent="0.2">
      <c r="B120" s="56" t="s">
        <v>116</v>
      </c>
      <c r="C120" s="47"/>
    </row>
    <row r="121" spans="2:3" x14ac:dyDescent="0.2">
      <c r="B121" s="56" t="s">
        <v>117</v>
      </c>
      <c r="C121" s="47"/>
    </row>
    <row r="122" spans="2:3" x14ac:dyDescent="0.2">
      <c r="B122" s="56" t="s">
        <v>118</v>
      </c>
      <c r="C122" s="47"/>
    </row>
    <row r="123" spans="2:3" x14ac:dyDescent="0.2">
      <c r="B123" s="56" t="s">
        <v>119</v>
      </c>
      <c r="C123" s="47"/>
    </row>
    <row r="124" spans="2:3" x14ac:dyDescent="0.2">
      <c r="B124" s="56" t="s">
        <v>120</v>
      </c>
      <c r="C124" s="47"/>
    </row>
    <row r="125" spans="2:3" x14ac:dyDescent="0.2">
      <c r="B125" s="56" t="s">
        <v>9</v>
      </c>
      <c r="C125" s="47"/>
    </row>
    <row r="126" spans="2:3" x14ac:dyDescent="0.2">
      <c r="B126" s="56" t="s">
        <v>172</v>
      </c>
      <c r="C126" s="49"/>
    </row>
    <row r="127" spans="2:3" x14ac:dyDescent="0.2">
      <c r="B127" s="56" t="s">
        <v>172</v>
      </c>
      <c r="C127" s="49"/>
    </row>
    <row r="128" spans="2:3" x14ac:dyDescent="0.2">
      <c r="B128" s="56" t="s">
        <v>172</v>
      </c>
      <c r="C128" s="49"/>
    </row>
    <row r="129" spans="2:3" x14ac:dyDescent="0.2">
      <c r="B129" s="56" t="s">
        <v>172</v>
      </c>
      <c r="C129" s="49"/>
    </row>
    <row r="130" spans="2:3" x14ac:dyDescent="0.2">
      <c r="B130" s="5" t="s">
        <v>30</v>
      </c>
    </row>
    <row r="131" spans="2:3" x14ac:dyDescent="0.2">
      <c r="B131" s="2" t="s">
        <v>105</v>
      </c>
      <c r="C131" s="3"/>
    </row>
    <row r="132" spans="2:3" x14ac:dyDescent="0.2">
      <c r="B132" s="56" t="s">
        <v>107</v>
      </c>
      <c r="C132" s="47"/>
    </row>
    <row r="133" spans="2:3" x14ac:dyDescent="0.2">
      <c r="B133" s="56" t="s">
        <v>106</v>
      </c>
      <c r="C133" s="47"/>
    </row>
    <row r="134" spans="2:3" x14ac:dyDescent="0.2">
      <c r="B134" s="56" t="s">
        <v>109</v>
      </c>
      <c r="C134" s="47"/>
    </row>
    <row r="135" spans="2:3" x14ac:dyDescent="0.2">
      <c r="B135" s="56" t="s">
        <v>108</v>
      </c>
      <c r="C135" s="47"/>
    </row>
    <row r="136" spans="2:3" x14ac:dyDescent="0.2">
      <c r="B136" s="56" t="s">
        <v>114</v>
      </c>
      <c r="C136" s="47"/>
    </row>
    <row r="137" spans="2:3" x14ac:dyDescent="0.2">
      <c r="B137" s="56" t="s">
        <v>110</v>
      </c>
      <c r="C137" s="47"/>
    </row>
    <row r="138" spans="2:3" x14ac:dyDescent="0.2">
      <c r="B138" s="56" t="s">
        <v>124</v>
      </c>
      <c r="C138" s="47"/>
    </row>
    <row r="139" spans="2:3" x14ac:dyDescent="0.2">
      <c r="B139" s="56" t="s">
        <v>9</v>
      </c>
      <c r="C139" s="47"/>
    </row>
    <row r="140" spans="2:3" x14ac:dyDescent="0.2">
      <c r="B140" s="56" t="s">
        <v>172</v>
      </c>
      <c r="C140" s="49"/>
    </row>
    <row r="141" spans="2:3" x14ac:dyDescent="0.2">
      <c r="B141" s="56" t="s">
        <v>172</v>
      </c>
      <c r="C141" s="49"/>
    </row>
    <row r="142" spans="2:3" x14ac:dyDescent="0.2">
      <c r="B142" s="5" t="s">
        <v>30</v>
      </c>
    </row>
    <row r="143" spans="2:3" x14ac:dyDescent="0.2">
      <c r="B143" s="2" t="s">
        <v>102</v>
      </c>
      <c r="C143" s="3"/>
    </row>
    <row r="144" spans="2:3" x14ac:dyDescent="0.2">
      <c r="B144" s="56" t="s">
        <v>111</v>
      </c>
      <c r="C144" s="47"/>
    </row>
    <row r="145" spans="2:3" x14ac:dyDescent="0.2">
      <c r="B145" s="56" t="s">
        <v>112</v>
      </c>
      <c r="C145" s="47"/>
    </row>
    <row r="146" spans="2:3" x14ac:dyDescent="0.2">
      <c r="B146" s="56" t="s">
        <v>113</v>
      </c>
      <c r="C146" s="47"/>
    </row>
    <row r="147" spans="2:3" x14ac:dyDescent="0.2">
      <c r="B147" s="56" t="s">
        <v>123</v>
      </c>
      <c r="C147" s="47"/>
    </row>
    <row r="148" spans="2:3" x14ac:dyDescent="0.2">
      <c r="B148" s="56" t="s">
        <v>115</v>
      </c>
      <c r="C148" s="47"/>
    </row>
    <row r="149" spans="2:3" x14ac:dyDescent="0.2">
      <c r="B149" s="56" t="s">
        <v>121</v>
      </c>
      <c r="C149" s="47"/>
    </row>
    <row r="150" spans="2:3" x14ac:dyDescent="0.2">
      <c r="B150" s="56" t="s">
        <v>122</v>
      </c>
      <c r="C150" s="47"/>
    </row>
    <row r="151" spans="2:3" x14ac:dyDescent="0.2">
      <c r="B151" s="56" t="s">
        <v>9</v>
      </c>
      <c r="C151" s="47"/>
    </row>
    <row r="152" spans="2:3" x14ac:dyDescent="0.2">
      <c r="B152" s="56" t="s">
        <v>172</v>
      </c>
      <c r="C152" s="49"/>
    </row>
    <row r="153" spans="2:3" x14ac:dyDescent="0.2">
      <c r="B153" s="56" t="s">
        <v>172</v>
      </c>
      <c r="C153" s="49"/>
    </row>
    <row r="154" spans="2:3" x14ac:dyDescent="0.2">
      <c r="B154" s="5" t="s">
        <v>30</v>
      </c>
    </row>
    <row r="155" spans="2:3" x14ac:dyDescent="0.2">
      <c r="B155" s="2" t="s">
        <v>19</v>
      </c>
      <c r="C155" s="3"/>
    </row>
    <row r="156" spans="2:3" x14ac:dyDescent="0.2">
      <c r="B156" s="56" t="s">
        <v>21</v>
      </c>
      <c r="C156" s="47"/>
    </row>
    <row r="157" spans="2:3" x14ac:dyDescent="0.2">
      <c r="B157" s="56" t="s">
        <v>85</v>
      </c>
      <c r="C157" s="47"/>
    </row>
    <row r="158" spans="2:3" x14ac:dyDescent="0.2">
      <c r="B158" s="56" t="s">
        <v>20</v>
      </c>
      <c r="C158" s="47"/>
    </row>
    <row r="159" spans="2:3" x14ac:dyDescent="0.2">
      <c r="B159" s="56" t="s">
        <v>9</v>
      </c>
      <c r="C159" s="47"/>
    </row>
    <row r="160" spans="2:3" x14ac:dyDescent="0.2">
      <c r="B160" s="56" t="s">
        <v>172</v>
      </c>
      <c r="C160" s="47"/>
    </row>
    <row r="161" spans="2:3" x14ac:dyDescent="0.2">
      <c r="B161" s="56" t="s">
        <v>172</v>
      </c>
      <c r="C161" s="47"/>
    </row>
    <row r="162" spans="2:3" x14ac:dyDescent="0.2">
      <c r="B162" s="56" t="s">
        <v>172</v>
      </c>
      <c r="C162" s="49"/>
    </row>
    <row r="163" spans="2:3" x14ac:dyDescent="0.2">
      <c r="B163" s="56" t="s">
        <v>172</v>
      </c>
      <c r="C163" s="49"/>
    </row>
    <row r="164" spans="2:3" x14ac:dyDescent="0.2">
      <c r="B164" s="56" t="s">
        <v>172</v>
      </c>
      <c r="C164" s="49"/>
    </row>
    <row r="165" spans="2:3" x14ac:dyDescent="0.2">
      <c r="B165" s="56" t="s">
        <v>172</v>
      </c>
      <c r="C165" s="49"/>
    </row>
    <row r="166" spans="2:3" x14ac:dyDescent="0.2">
      <c r="B166" s="5" t="s">
        <v>30</v>
      </c>
    </row>
    <row r="167" spans="2:3" x14ac:dyDescent="0.2">
      <c r="B167" s="2" t="s">
        <v>155</v>
      </c>
      <c r="C167" s="3"/>
    </row>
    <row r="168" spans="2:3" x14ac:dyDescent="0.2">
      <c r="B168" s="56" t="s">
        <v>27</v>
      </c>
      <c r="C168" s="47"/>
    </row>
    <row r="169" spans="2:3" ht="30" x14ac:dyDescent="0.2">
      <c r="B169" s="56" t="s">
        <v>28</v>
      </c>
      <c r="C169" s="47"/>
    </row>
    <row r="170" spans="2:3" x14ac:dyDescent="0.2">
      <c r="B170" s="56" t="s">
        <v>29</v>
      </c>
      <c r="C170" s="47"/>
    </row>
    <row r="171" spans="2:3" x14ac:dyDescent="0.2">
      <c r="B171" s="56" t="s">
        <v>94</v>
      </c>
      <c r="C171" s="47"/>
    </row>
    <row r="172" spans="2:3" x14ac:dyDescent="0.2">
      <c r="B172" s="56" t="s">
        <v>95</v>
      </c>
      <c r="C172" s="47"/>
    </row>
    <row r="173" spans="2:3" x14ac:dyDescent="0.2">
      <c r="B173" s="56" t="s">
        <v>96</v>
      </c>
      <c r="C173" s="47"/>
    </row>
    <row r="174" spans="2:3" x14ac:dyDescent="0.2">
      <c r="B174" s="56" t="s">
        <v>97</v>
      </c>
      <c r="C174" s="47"/>
    </row>
    <row r="175" spans="2:3" x14ac:dyDescent="0.2">
      <c r="B175" s="56" t="s">
        <v>9</v>
      </c>
      <c r="C175" s="47"/>
    </row>
    <row r="176" spans="2:3" x14ac:dyDescent="0.2">
      <c r="B176" s="56" t="s">
        <v>172</v>
      </c>
      <c r="C176" s="52"/>
    </row>
    <row r="177" spans="2:3" x14ac:dyDescent="0.2">
      <c r="B177" s="56" t="s">
        <v>172</v>
      </c>
      <c r="C177" s="52"/>
    </row>
    <row r="179" spans="2:3" x14ac:dyDescent="0.2">
      <c r="B179" s="2" t="s">
        <v>156</v>
      </c>
      <c r="C179" s="3"/>
    </row>
    <row r="180" spans="2:3" x14ac:dyDescent="0.2">
      <c r="B180" s="56" t="s">
        <v>172</v>
      </c>
      <c r="C180" s="47"/>
    </row>
    <row r="181" spans="2:3" x14ac:dyDescent="0.2">
      <c r="B181" s="56" t="s">
        <v>172</v>
      </c>
      <c r="C181" s="47"/>
    </row>
    <row r="182" spans="2:3" x14ac:dyDescent="0.2">
      <c r="B182" s="56" t="s">
        <v>172</v>
      </c>
      <c r="C182" s="47"/>
    </row>
    <row r="183" spans="2:3" x14ac:dyDescent="0.2">
      <c r="B183" s="56" t="s">
        <v>172</v>
      </c>
      <c r="C183" s="47"/>
    </row>
    <row r="184" spans="2:3" x14ac:dyDescent="0.2">
      <c r="B184" s="56" t="s">
        <v>172</v>
      </c>
      <c r="C184" s="47"/>
    </row>
    <row r="185" spans="2:3" x14ac:dyDescent="0.2">
      <c r="B185" s="56" t="s">
        <v>172</v>
      </c>
      <c r="C185" s="47"/>
    </row>
    <row r="186" spans="2:3" x14ac:dyDescent="0.2">
      <c r="B186" s="56" t="s">
        <v>172</v>
      </c>
      <c r="C186" s="47"/>
    </row>
    <row r="187" spans="2:3" x14ac:dyDescent="0.2">
      <c r="B187" s="56" t="s">
        <v>172</v>
      </c>
      <c r="C187" s="47"/>
    </row>
    <row r="188" spans="2:3" x14ac:dyDescent="0.2">
      <c r="B188" s="56" t="s">
        <v>172</v>
      </c>
      <c r="C188" s="52"/>
    </row>
    <row r="189" spans="2:3" x14ac:dyDescent="0.2">
      <c r="B189" s="56" t="s">
        <v>172</v>
      </c>
      <c r="C189" s="52"/>
    </row>
    <row r="191" spans="2:3" x14ac:dyDescent="0.2">
      <c r="B191" s="2" t="s">
        <v>157</v>
      </c>
      <c r="C191" s="3"/>
    </row>
    <row r="192" spans="2:3" x14ac:dyDescent="0.2">
      <c r="B192" s="56" t="s">
        <v>172</v>
      </c>
      <c r="C192" s="47"/>
    </row>
    <row r="193" spans="2:3" x14ac:dyDescent="0.2">
      <c r="B193" s="56" t="s">
        <v>172</v>
      </c>
      <c r="C193" s="47"/>
    </row>
    <row r="194" spans="2:3" x14ac:dyDescent="0.2">
      <c r="B194" s="56" t="s">
        <v>172</v>
      </c>
      <c r="C194" s="47"/>
    </row>
    <row r="195" spans="2:3" x14ac:dyDescent="0.2">
      <c r="B195" s="56" t="s">
        <v>172</v>
      </c>
      <c r="C195" s="47"/>
    </row>
    <row r="196" spans="2:3" x14ac:dyDescent="0.2">
      <c r="B196" s="56" t="s">
        <v>172</v>
      </c>
      <c r="C196" s="47"/>
    </row>
    <row r="197" spans="2:3" x14ac:dyDescent="0.2">
      <c r="B197" s="56" t="s">
        <v>172</v>
      </c>
      <c r="C197" s="47"/>
    </row>
    <row r="198" spans="2:3" x14ac:dyDescent="0.2">
      <c r="B198" s="56" t="s">
        <v>172</v>
      </c>
      <c r="C198" s="47"/>
    </row>
    <row r="199" spans="2:3" x14ac:dyDescent="0.2">
      <c r="B199" s="56" t="s">
        <v>172</v>
      </c>
      <c r="C199" s="47"/>
    </row>
    <row r="200" spans="2:3" x14ac:dyDescent="0.2">
      <c r="B200" s="56" t="s">
        <v>172</v>
      </c>
      <c r="C200" s="52"/>
    </row>
    <row r="201" spans="2:3" x14ac:dyDescent="0.2">
      <c r="B201" s="56" t="s">
        <v>172</v>
      </c>
      <c r="C201" s="52"/>
    </row>
    <row r="202" spans="2:3" x14ac:dyDescent="0.2">
      <c r="B202" t="s">
        <v>172</v>
      </c>
    </row>
    <row r="203" spans="2:3" x14ac:dyDescent="0.2">
      <c r="B203" s="2" t="s">
        <v>158</v>
      </c>
      <c r="C203" s="3"/>
    </row>
    <row r="204" spans="2:3" x14ac:dyDescent="0.2">
      <c r="B204" s="56" t="s">
        <v>172</v>
      </c>
      <c r="C204" s="47"/>
    </row>
    <row r="205" spans="2:3" x14ac:dyDescent="0.2">
      <c r="B205" s="56" t="s">
        <v>172</v>
      </c>
      <c r="C205" s="47"/>
    </row>
    <row r="206" spans="2:3" x14ac:dyDescent="0.2">
      <c r="B206" s="56" t="s">
        <v>172</v>
      </c>
      <c r="C206" s="47"/>
    </row>
    <row r="207" spans="2:3" x14ac:dyDescent="0.2">
      <c r="B207" s="56" t="s">
        <v>172</v>
      </c>
      <c r="C207" s="47"/>
    </row>
    <row r="208" spans="2:3" x14ac:dyDescent="0.2">
      <c r="B208" s="56" t="s">
        <v>172</v>
      </c>
      <c r="C208" s="47"/>
    </row>
    <row r="209" spans="2:3" x14ac:dyDescent="0.2">
      <c r="B209" s="56" t="s">
        <v>172</v>
      </c>
      <c r="C209" s="47"/>
    </row>
    <row r="210" spans="2:3" x14ac:dyDescent="0.2">
      <c r="B210" s="56" t="s">
        <v>172</v>
      </c>
      <c r="C210" s="47"/>
    </row>
    <row r="211" spans="2:3" x14ac:dyDescent="0.2">
      <c r="B211" s="56" t="s">
        <v>172</v>
      </c>
      <c r="C211" s="47"/>
    </row>
    <row r="212" spans="2:3" x14ac:dyDescent="0.2">
      <c r="B212" s="56" t="s">
        <v>172</v>
      </c>
      <c r="C212" s="52"/>
    </row>
    <row r="213" spans="2:3" x14ac:dyDescent="0.2">
      <c r="B213" s="56" t="s">
        <v>172</v>
      </c>
      <c r="C213" s="52"/>
    </row>
  </sheetData>
  <mergeCells count="2">
    <mergeCell ref="B2:C2"/>
    <mergeCell ref="B4:C4"/>
  </mergeCells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tableParts count="16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 enableFormatConditionsCalculation="0"/>
  <dimension ref="B2:J254"/>
  <sheetViews>
    <sheetView showGridLines="0" workbookViewId="0">
      <selection activeCell="I2" sqref="I2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</cols>
  <sheetData>
    <row r="2" spans="2:7" ht="24" x14ac:dyDescent="0.3">
      <c r="B2" s="66" t="s">
        <v>146</v>
      </c>
      <c r="C2" s="66"/>
      <c r="D2" s="67" t="s">
        <v>171</v>
      </c>
      <c r="E2" s="68"/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69" t="s">
        <v>144</v>
      </c>
      <c r="C4" s="70"/>
      <c r="D4" s="70"/>
      <c r="E4" s="70"/>
    </row>
    <row r="5" spans="2:7" outlineLevel="1" x14ac:dyDescent="0.2">
      <c r="B5" s="41" t="s">
        <v>147</v>
      </c>
      <c r="C5" s="45" t="s">
        <v>148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151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62" t="s">
        <v>127</v>
      </c>
      <c r="C9" s="62"/>
      <c r="D9" s="34">
        <f>C49</f>
        <v>0</v>
      </c>
      <c r="E9" s="18"/>
    </row>
    <row r="10" spans="2:7" x14ac:dyDescent="0.2">
      <c r="B10" s="62" t="s">
        <v>131</v>
      </c>
      <c r="C10" s="62"/>
      <c r="D10" s="34">
        <f>C71</f>
        <v>0</v>
      </c>
      <c r="E10" s="18"/>
    </row>
    <row r="11" spans="2:7" x14ac:dyDescent="0.2">
      <c r="B11" s="48"/>
      <c r="C11" s="48"/>
      <c r="D11" s="31"/>
      <c r="E11" s="18"/>
    </row>
    <row r="12" spans="2:7" ht="30" customHeight="1" x14ac:dyDescent="0.2">
      <c r="B12" s="63" t="s">
        <v>133</v>
      </c>
      <c r="C12" s="63"/>
      <c r="D12" s="36">
        <f>D9-D10</f>
        <v>0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152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62" t="s">
        <v>128</v>
      </c>
      <c r="C16" s="62"/>
      <c r="D16" s="28">
        <f>D49</f>
        <v>0</v>
      </c>
      <c r="E16" s="18"/>
    </row>
    <row r="17" spans="2:5" x14ac:dyDescent="0.2">
      <c r="B17" s="62" t="s">
        <v>135</v>
      </c>
      <c r="C17" s="62"/>
      <c r="D17" s="28">
        <f>D71</f>
        <v>0</v>
      </c>
      <c r="E17" s="18"/>
    </row>
    <row r="18" spans="2:5" x14ac:dyDescent="0.2">
      <c r="B18" s="48"/>
      <c r="C18" s="48"/>
      <c r="D18" s="28"/>
      <c r="E18" s="18"/>
    </row>
    <row r="19" spans="2:5" ht="30" customHeight="1" x14ac:dyDescent="0.2">
      <c r="B19" s="63" t="s">
        <v>136</v>
      </c>
      <c r="C19" s="63"/>
      <c r="D19" s="36">
        <f>D16-D17</f>
        <v>0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64" t="s">
        <v>137</v>
      </c>
      <c r="C21" s="64"/>
      <c r="D21" s="64"/>
      <c r="E21" s="64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60">
        <f>D17</f>
        <v>0</v>
      </c>
      <c r="C23" s="65"/>
      <c r="D23" s="61"/>
      <c r="E23" s="38" t="str">
        <f>IFERROR(D17/D16,"")</f>
        <v/>
      </c>
    </row>
    <row r="24" spans="2:5" ht="18" x14ac:dyDescent="0.2">
      <c r="B24" s="29"/>
      <c r="D24" s="30"/>
      <c r="E24" s="18"/>
    </row>
    <row r="25" spans="2:5" x14ac:dyDescent="0.2">
      <c r="B25" s="64" t="s">
        <v>138</v>
      </c>
      <c r="C25" s="64"/>
      <c r="D25" s="64"/>
      <c r="E25" s="64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B73</f>
        <v>Jedzenie</v>
      </c>
      <c r="C27" s="60">
        <f>D73</f>
        <v>0</v>
      </c>
      <c r="D27" s="72"/>
      <c r="E27" s="38" t="str">
        <f>IFERROR(D73/C73,"")</f>
        <v/>
      </c>
    </row>
    <row r="28" spans="2:5" ht="18" customHeight="1" x14ac:dyDescent="0.2">
      <c r="B28" s="29" t="str">
        <f>B85</f>
        <v>Mieszkanie / dom</v>
      </c>
      <c r="C28" s="60">
        <f>D85</f>
        <v>0</v>
      </c>
      <c r="D28" s="61"/>
      <c r="E28" s="38" t="str">
        <f>IFERROR(D85/C85,"")</f>
        <v/>
      </c>
    </row>
    <row r="29" spans="2:5" ht="18" customHeight="1" x14ac:dyDescent="0.2">
      <c r="B29" s="29" t="str">
        <f>B97</f>
        <v>Transport</v>
      </c>
      <c r="C29" s="60">
        <f>D97</f>
        <v>0</v>
      </c>
      <c r="D29" s="61"/>
      <c r="E29" s="38" t="str">
        <f>IFERROR(D97/C97,"")</f>
        <v/>
      </c>
    </row>
    <row r="30" spans="2:5" ht="18" customHeight="1" x14ac:dyDescent="0.2">
      <c r="B30" s="29" t="str">
        <f>B109</f>
        <v>Telekomunikacja</v>
      </c>
      <c r="C30" s="60">
        <f>D109</f>
        <v>0</v>
      </c>
      <c r="D30" s="61"/>
      <c r="E30" s="38" t="str">
        <f>IFERROR(D109/C109,"")</f>
        <v/>
      </c>
    </row>
    <row r="31" spans="2:5" ht="18" customHeight="1" x14ac:dyDescent="0.2">
      <c r="B31" s="29" t="str">
        <f>B121</f>
        <v>Opieka zdrowotna</v>
      </c>
      <c r="C31" s="60">
        <f>D121</f>
        <v>0</v>
      </c>
      <c r="D31" s="61"/>
      <c r="E31" s="38" t="str">
        <f>IFERROR(D121/C121,"")</f>
        <v/>
      </c>
    </row>
    <row r="32" spans="2:5" ht="18" customHeight="1" x14ac:dyDescent="0.2">
      <c r="B32" s="29" t="str">
        <f>B133</f>
        <v>Ubranie</v>
      </c>
      <c r="C32" s="60">
        <f>D133</f>
        <v>0</v>
      </c>
      <c r="D32" s="61"/>
      <c r="E32" s="38" t="str">
        <f>IFERROR(D133/C133,"")</f>
        <v/>
      </c>
    </row>
    <row r="33" spans="2:7" ht="18" customHeight="1" x14ac:dyDescent="0.2">
      <c r="B33" s="29" t="str">
        <f>B145</f>
        <v>Higiena</v>
      </c>
      <c r="C33" s="60">
        <f>D145</f>
        <v>0</v>
      </c>
      <c r="D33" s="61"/>
      <c r="E33" s="38" t="str">
        <f>IFERROR(D145/C145,"")</f>
        <v/>
      </c>
    </row>
    <row r="34" spans="2:7" ht="18" customHeight="1" x14ac:dyDescent="0.2">
      <c r="B34" s="29" t="str">
        <f>B157</f>
        <v>Dzieci</v>
      </c>
      <c r="C34" s="60">
        <f>D157</f>
        <v>0</v>
      </c>
      <c r="D34" s="61"/>
      <c r="E34" s="38" t="str">
        <f>IFERROR(D157/C157,"")</f>
        <v/>
      </c>
    </row>
    <row r="35" spans="2:7" ht="18" customHeight="1" x14ac:dyDescent="0.2">
      <c r="B35" s="29" t="str">
        <f>B169</f>
        <v>Rozrywka</v>
      </c>
      <c r="C35" s="60">
        <f>D169</f>
        <v>0</v>
      </c>
      <c r="D35" s="61"/>
      <c r="E35" s="38" t="str">
        <f>IFERROR(D169/C169,"")</f>
        <v/>
      </c>
    </row>
    <row r="36" spans="2:7" ht="18" customHeight="1" x14ac:dyDescent="0.2">
      <c r="B36" s="29" t="str">
        <f>B181</f>
        <v>Inne wydatki</v>
      </c>
      <c r="C36" s="60">
        <f>D181</f>
        <v>0</v>
      </c>
      <c r="D36" s="61"/>
      <c r="E36" s="38" t="str">
        <f>IFERROR(D181/C181,"")</f>
        <v/>
      </c>
    </row>
    <row r="37" spans="2:7" ht="18" customHeight="1" x14ac:dyDescent="0.2">
      <c r="B37" s="29" t="str">
        <f>B193</f>
        <v>Spłata długów</v>
      </c>
      <c r="C37" s="60">
        <f>D193</f>
        <v>0</v>
      </c>
      <c r="D37" s="61"/>
      <c r="E37" s="38" t="str">
        <f>IFERROR(D193/C193,"")</f>
        <v/>
      </c>
    </row>
    <row r="38" spans="2:7" ht="18" customHeight="1" x14ac:dyDescent="0.2">
      <c r="B38" s="29" t="str">
        <f>B205</f>
        <v>Budowanie oszczędności</v>
      </c>
      <c r="C38" s="60">
        <f>D205</f>
        <v>0</v>
      </c>
      <c r="D38" s="61"/>
      <c r="E38" s="38" t="str">
        <f>IFERROR(D205/C205,"")</f>
        <v/>
      </c>
    </row>
    <row r="39" spans="2:7" ht="18" customHeight="1" x14ac:dyDescent="0.2">
      <c r="B39" s="29" t="str">
        <f>B217</f>
        <v>INNE 1</v>
      </c>
      <c r="C39" s="60">
        <f>D217</f>
        <v>0</v>
      </c>
      <c r="D39" s="61"/>
      <c r="E39" s="38" t="str">
        <f>IFERROR(D217/C217,"")</f>
        <v/>
      </c>
    </row>
    <row r="40" spans="2:7" ht="18" customHeight="1" x14ac:dyDescent="0.2">
      <c r="B40" s="29" t="str">
        <f>B229</f>
        <v>INNE 2</v>
      </c>
      <c r="C40" s="60">
        <f>D229</f>
        <v>0</v>
      </c>
      <c r="D40" s="72"/>
      <c r="E40" s="38" t="str">
        <f>IFERROR(D229/C229,"")</f>
        <v/>
      </c>
    </row>
    <row r="41" spans="2:7" ht="18" customHeight="1" x14ac:dyDescent="0.2">
      <c r="B41" s="29" t="str">
        <f>B241</f>
        <v>INNE 3</v>
      </c>
      <c r="C41" s="60">
        <f>D241</f>
        <v>0</v>
      </c>
      <c r="D41" s="72"/>
      <c r="E41" s="38" t="str">
        <f>IFERROR(D241/C241,"")</f>
        <v/>
      </c>
    </row>
    <row r="42" spans="2:7" ht="18" x14ac:dyDescent="0.2">
      <c r="B42" s="29"/>
      <c r="D42" s="30"/>
      <c r="E42" s="18"/>
    </row>
    <row r="43" spans="2:7" x14ac:dyDescent="0.2">
      <c r="B43" s="18"/>
      <c r="C43" s="18"/>
      <c r="D43" s="18"/>
      <c r="E43" s="18"/>
    </row>
    <row r="44" spans="2:7" ht="22" thickBot="1" x14ac:dyDescent="0.3">
      <c r="B44" s="32" t="s">
        <v>42</v>
      </c>
      <c r="C44" s="33"/>
      <c r="D44" s="33"/>
      <c r="E44" s="33"/>
      <c r="F44" s="33"/>
      <c r="G44" s="33"/>
    </row>
    <row r="46" spans="2:7" ht="19" x14ac:dyDescent="0.25">
      <c r="B46" s="44" t="s">
        <v>26</v>
      </c>
    </row>
    <row r="47" spans="2:7" x14ac:dyDescent="0.2">
      <c r="B47" s="1"/>
    </row>
    <row r="48" spans="2:7" ht="30" x14ac:dyDescent="0.2">
      <c r="B48" s="8" t="s">
        <v>0</v>
      </c>
      <c r="C48" s="9" t="s">
        <v>127</v>
      </c>
      <c r="D48" s="10" t="s">
        <v>128</v>
      </c>
      <c r="E48" s="8" t="s">
        <v>129</v>
      </c>
      <c r="F48" s="9" t="s">
        <v>140</v>
      </c>
      <c r="G48" s="8" t="s">
        <v>41</v>
      </c>
    </row>
    <row r="49" spans="2:7" ht="26" customHeight="1" x14ac:dyDescent="0.2">
      <c r="B49" s="39" t="s">
        <v>139</v>
      </c>
      <c r="C49" s="40">
        <f>C51</f>
        <v>0</v>
      </c>
      <c r="D49" s="40">
        <f>D51</f>
        <v>0</v>
      </c>
      <c r="E49" s="40">
        <f>D49-C49</f>
        <v>0</v>
      </c>
      <c r="F49" s="8" t="s">
        <v>141</v>
      </c>
      <c r="G49" s="8"/>
    </row>
    <row r="50" spans="2:7" x14ac:dyDescent="0.2">
      <c r="B50" s="1"/>
    </row>
    <row r="51" spans="2:7" x14ac:dyDescent="0.2">
      <c r="B51" s="14" t="str">
        <f>'Wzorzec kategorii'!B14</f>
        <v>Całkowite przychody</v>
      </c>
      <c r="C51" s="15">
        <f>SUM(Tabela718445[[#All],[Kolumna2]])</f>
        <v>0</v>
      </c>
      <c r="D51" s="16">
        <f>SUM(Tabela718445[[#All],[Kolumna3]])</f>
        <v>0</v>
      </c>
      <c r="E51" s="15">
        <f>D51-C51</f>
        <v>0</v>
      </c>
      <c r="F51" s="17" t="str">
        <f>IFERROR(D51/C51,"")</f>
        <v/>
      </c>
      <c r="G51" s="15"/>
    </row>
    <row r="52" spans="2:7" x14ac:dyDescent="0.2">
      <c r="B52" s="58" t="str">
        <f>'Wzorzec kategorii'!B15</f>
        <v>Wynagrodzenie</v>
      </c>
      <c r="C52" s="47">
        <f>Tabela718[[#This Row],[Kolumna2]]+Tabela71867[[#This Row],[Kolumna2]]+Tabela71899[[#This Row],[Kolumna2]]+Tabela718131[[#This Row],[Kolumna2]]+Tabela718163[[#This Row],[Kolumna2]]+Tabela718195[[#This Row],[Kolumna2]]+Tabela718227[[#This Row],[Kolumna2]]+Tabela718259[[#This Row],[Kolumna2]]+Tabela718291[[#This Row],[Kolumna2]]+Tabela718323[[#This Row],[Kolumna2]]+Tabela718368[[#This Row],[Kolumna2]]+Tabela718413[[#This Row],[Kolumna2]]</f>
        <v>0</v>
      </c>
      <c r="D52" s="47">
        <f>Tabela718[[#This Row],[Kolumna3]]+Tabela71867[[#This Row],[Kolumna3]]+Tabela71899[[#This Row],[Kolumna3]]+Tabela718131[[#This Row],[Kolumna3]]+Tabela718163[[#This Row],[Kolumna3]]+Tabela718195[[#This Row],[Kolumna3]]+Tabela718227[[#This Row],[Kolumna3]]+Tabela718259[[#This Row],[Kolumna3]]+Tabela718291[[#This Row],[Kolumna3]]+Tabela718323[[#This Row],[Kolumna3]]+Tabela718368[[#This Row],[Kolumna3]]+Tabela718413[[#This Row],[Kolumna3]]</f>
        <v>0</v>
      </c>
      <c r="E52" s="20">
        <f>Tabela718445[[#This Row],[Kolumna3]]-Tabela718445[[#This Row],[Kolumna2]]</f>
        <v>0</v>
      </c>
      <c r="F52" s="21" t="str">
        <f t="shared" ref="F52:F66" si="0">IFERROR(D52/C52,"")</f>
        <v/>
      </c>
      <c r="G52" s="22"/>
    </row>
    <row r="53" spans="2:7" ht="30" x14ac:dyDescent="0.2">
      <c r="B53" s="58" t="str">
        <f>'Wzorzec kategorii'!B16</f>
        <v>Wynagrodzenie Partnera / Partnerki</v>
      </c>
      <c r="C53" s="47">
        <f>Tabela718[[#This Row],[Kolumna2]]+Tabela71867[[#This Row],[Kolumna2]]+Tabela71899[[#This Row],[Kolumna2]]+Tabela718131[[#This Row],[Kolumna2]]+Tabela718163[[#This Row],[Kolumna2]]+Tabela718195[[#This Row],[Kolumna2]]+Tabela718227[[#This Row],[Kolumna2]]+Tabela718259[[#This Row],[Kolumna2]]+Tabela718291[[#This Row],[Kolumna2]]+Tabela718323[[#This Row],[Kolumna2]]+Tabela718368[[#This Row],[Kolumna2]]+Tabela718413[[#This Row],[Kolumna2]]</f>
        <v>0</v>
      </c>
      <c r="D53" s="47">
        <f>Tabela718[[#This Row],[Kolumna3]]+Tabela71867[[#This Row],[Kolumna3]]+Tabela71899[[#This Row],[Kolumna3]]+Tabela718131[[#This Row],[Kolumna3]]+Tabela718163[[#This Row],[Kolumna3]]+Tabela718195[[#This Row],[Kolumna3]]+Tabela718227[[#This Row],[Kolumna3]]+Tabela718259[[#This Row],[Kolumna3]]+Tabela718291[[#This Row],[Kolumna3]]+Tabela718323[[#This Row],[Kolumna3]]+Tabela718368[[#This Row],[Kolumna3]]+Tabela718413[[#This Row],[Kolumna3]]</f>
        <v>0</v>
      </c>
      <c r="E53" s="20">
        <f>Tabela718445[[#This Row],[Kolumna3]]-Tabela718445[[#This Row],[Kolumna2]]</f>
        <v>0</v>
      </c>
      <c r="F53" s="21" t="str">
        <f t="shared" si="0"/>
        <v/>
      </c>
      <c r="G53" s="22"/>
    </row>
    <row r="54" spans="2:7" x14ac:dyDescent="0.2">
      <c r="B54" s="58" t="str">
        <f>'Wzorzec kategorii'!B17</f>
        <v>Premia</v>
      </c>
      <c r="C54" s="47">
        <f>Tabela718[[#This Row],[Kolumna2]]+Tabela71867[[#This Row],[Kolumna2]]+Tabela71899[[#This Row],[Kolumna2]]+Tabela718131[[#This Row],[Kolumna2]]+Tabela718163[[#This Row],[Kolumna2]]+Tabela718195[[#This Row],[Kolumna2]]+Tabela718227[[#This Row],[Kolumna2]]+Tabela718259[[#This Row],[Kolumna2]]+Tabela718291[[#This Row],[Kolumna2]]+Tabela718323[[#This Row],[Kolumna2]]+Tabela718368[[#This Row],[Kolumna2]]+Tabela718413[[#This Row],[Kolumna2]]</f>
        <v>0</v>
      </c>
      <c r="D54" s="47">
        <f>Tabela718[[#This Row],[Kolumna3]]+Tabela71867[[#This Row],[Kolumna3]]+Tabela71899[[#This Row],[Kolumna3]]+Tabela718131[[#This Row],[Kolumna3]]+Tabela718163[[#This Row],[Kolumna3]]+Tabela718195[[#This Row],[Kolumna3]]+Tabela718227[[#This Row],[Kolumna3]]+Tabela718259[[#This Row],[Kolumna3]]+Tabela718291[[#This Row],[Kolumna3]]+Tabela718323[[#This Row],[Kolumna3]]+Tabela718368[[#This Row],[Kolumna3]]+Tabela718413[[#This Row],[Kolumna3]]</f>
        <v>0</v>
      </c>
      <c r="E54" s="20">
        <f>Tabela718445[[#This Row],[Kolumna3]]-Tabela718445[[#This Row],[Kolumna2]]</f>
        <v>0</v>
      </c>
      <c r="F54" s="21" t="str">
        <f t="shared" si="0"/>
        <v/>
      </c>
      <c r="G54" s="22"/>
    </row>
    <row r="55" spans="2:7" x14ac:dyDescent="0.2">
      <c r="B55" s="58" t="str">
        <f>'Wzorzec kategorii'!B18</f>
        <v>Przychody z premii bankowych</v>
      </c>
      <c r="C55" s="47">
        <f>Tabela718[[#This Row],[Kolumna2]]+Tabela71867[[#This Row],[Kolumna2]]+Tabela71899[[#This Row],[Kolumna2]]+Tabela718131[[#This Row],[Kolumna2]]+Tabela718163[[#This Row],[Kolumna2]]+Tabela718195[[#This Row],[Kolumna2]]+Tabela718227[[#This Row],[Kolumna2]]+Tabela718259[[#This Row],[Kolumna2]]+Tabela718291[[#This Row],[Kolumna2]]+Tabela718323[[#This Row],[Kolumna2]]+Tabela718368[[#This Row],[Kolumna2]]+Tabela718413[[#This Row],[Kolumna2]]</f>
        <v>0</v>
      </c>
      <c r="D55" s="47">
        <f>Tabela718[[#This Row],[Kolumna3]]+Tabela71867[[#This Row],[Kolumna3]]+Tabela71899[[#This Row],[Kolumna3]]+Tabela718131[[#This Row],[Kolumna3]]+Tabela718163[[#This Row],[Kolumna3]]+Tabela718195[[#This Row],[Kolumna3]]+Tabela718227[[#This Row],[Kolumna3]]+Tabela718259[[#This Row],[Kolumna3]]+Tabela718291[[#This Row],[Kolumna3]]+Tabela718323[[#This Row],[Kolumna3]]+Tabela718368[[#This Row],[Kolumna3]]+Tabela718413[[#This Row],[Kolumna3]]</f>
        <v>0</v>
      </c>
      <c r="E55" s="20">
        <f>Tabela718445[[#This Row],[Kolumna3]]-Tabela718445[[#This Row],[Kolumna2]]</f>
        <v>0</v>
      </c>
      <c r="F55" s="21" t="str">
        <f t="shared" si="0"/>
        <v/>
      </c>
      <c r="G55" s="22"/>
    </row>
    <row r="56" spans="2:7" x14ac:dyDescent="0.2">
      <c r="B56" s="58" t="str">
        <f>'Wzorzec kategorii'!B19</f>
        <v>Odsetki bankowe</v>
      </c>
      <c r="C56" s="47">
        <f>Tabela718[[#This Row],[Kolumna2]]+Tabela71867[[#This Row],[Kolumna2]]+Tabela71899[[#This Row],[Kolumna2]]+Tabela718131[[#This Row],[Kolumna2]]+Tabela718163[[#This Row],[Kolumna2]]+Tabela718195[[#This Row],[Kolumna2]]+Tabela718227[[#This Row],[Kolumna2]]+Tabela718259[[#This Row],[Kolumna2]]+Tabela718291[[#This Row],[Kolumna2]]+Tabela718323[[#This Row],[Kolumna2]]+Tabela718368[[#This Row],[Kolumna2]]+Tabela718413[[#This Row],[Kolumna2]]</f>
        <v>0</v>
      </c>
      <c r="D56" s="47">
        <f>Tabela718[[#This Row],[Kolumna3]]+Tabela71867[[#This Row],[Kolumna3]]+Tabela71899[[#This Row],[Kolumna3]]+Tabela718131[[#This Row],[Kolumna3]]+Tabela718163[[#This Row],[Kolumna3]]+Tabela718195[[#This Row],[Kolumna3]]+Tabela718227[[#This Row],[Kolumna3]]+Tabela718259[[#This Row],[Kolumna3]]+Tabela718291[[#This Row],[Kolumna3]]+Tabela718323[[#This Row],[Kolumna3]]+Tabela718368[[#This Row],[Kolumna3]]+Tabela718413[[#This Row],[Kolumna3]]</f>
        <v>0</v>
      </c>
      <c r="E56" s="20">
        <f>Tabela718445[[#This Row],[Kolumna3]]-Tabela718445[[#This Row],[Kolumna2]]</f>
        <v>0</v>
      </c>
      <c r="F56" s="21" t="str">
        <f t="shared" si="0"/>
        <v/>
      </c>
      <c r="G56" s="22"/>
    </row>
    <row r="57" spans="2:7" x14ac:dyDescent="0.2">
      <c r="B57" s="58" t="str">
        <f>'Wzorzec kategorii'!B20</f>
        <v>Sprzedaż na Allegro itp.</v>
      </c>
      <c r="C57" s="47">
        <f>Tabela718[[#This Row],[Kolumna2]]+Tabela71867[[#This Row],[Kolumna2]]+Tabela71899[[#This Row],[Kolumna2]]+Tabela718131[[#This Row],[Kolumna2]]+Tabela718163[[#This Row],[Kolumna2]]+Tabela718195[[#This Row],[Kolumna2]]+Tabela718227[[#This Row],[Kolumna2]]+Tabela718259[[#This Row],[Kolumna2]]+Tabela718291[[#This Row],[Kolumna2]]+Tabela718323[[#This Row],[Kolumna2]]+Tabela718368[[#This Row],[Kolumna2]]+Tabela718413[[#This Row],[Kolumna2]]</f>
        <v>0</v>
      </c>
      <c r="D57" s="47">
        <f>Tabela718[[#This Row],[Kolumna3]]+Tabela71867[[#This Row],[Kolumna3]]+Tabela71899[[#This Row],[Kolumna3]]+Tabela718131[[#This Row],[Kolumna3]]+Tabela718163[[#This Row],[Kolumna3]]+Tabela718195[[#This Row],[Kolumna3]]+Tabela718227[[#This Row],[Kolumna3]]+Tabela718259[[#This Row],[Kolumna3]]+Tabela718291[[#This Row],[Kolumna3]]+Tabela718323[[#This Row],[Kolumna3]]+Tabela718368[[#This Row],[Kolumna3]]+Tabela718413[[#This Row],[Kolumna3]]</f>
        <v>0</v>
      </c>
      <c r="E57" s="20">
        <f>Tabela718445[[#This Row],[Kolumna3]]-Tabela718445[[#This Row],[Kolumna2]]</f>
        <v>0</v>
      </c>
      <c r="F57" s="21" t="str">
        <f t="shared" si="0"/>
        <v/>
      </c>
      <c r="G57" s="22"/>
    </row>
    <row r="58" spans="2:7" x14ac:dyDescent="0.2">
      <c r="B58" s="58" t="str">
        <f>'Wzorzec kategorii'!B21</f>
        <v>Inne przychody</v>
      </c>
      <c r="C58" s="47">
        <f>Tabela718[[#This Row],[Kolumna2]]+Tabela71867[[#This Row],[Kolumna2]]+Tabela71899[[#This Row],[Kolumna2]]+Tabela718131[[#This Row],[Kolumna2]]+Tabela718163[[#This Row],[Kolumna2]]+Tabela718195[[#This Row],[Kolumna2]]+Tabela718227[[#This Row],[Kolumna2]]+Tabela718259[[#This Row],[Kolumna2]]+Tabela718291[[#This Row],[Kolumna2]]+Tabela718323[[#This Row],[Kolumna2]]+Tabela718368[[#This Row],[Kolumna2]]+Tabela718413[[#This Row],[Kolumna2]]</f>
        <v>0</v>
      </c>
      <c r="D58" s="47">
        <f>Tabela718[[#This Row],[Kolumna3]]+Tabela71867[[#This Row],[Kolumna3]]+Tabela71899[[#This Row],[Kolumna3]]+Tabela718131[[#This Row],[Kolumna3]]+Tabela718163[[#This Row],[Kolumna3]]+Tabela718195[[#This Row],[Kolumna3]]+Tabela718227[[#This Row],[Kolumna3]]+Tabela718259[[#This Row],[Kolumna3]]+Tabela718291[[#This Row],[Kolumna3]]+Tabela718323[[#This Row],[Kolumna3]]+Tabela718368[[#This Row],[Kolumna3]]+Tabela718413[[#This Row],[Kolumna3]]</f>
        <v>0</v>
      </c>
      <c r="E58" s="20">
        <f>Tabela718445[[#This Row],[Kolumna3]]-Tabela718445[[#This Row],[Kolumna2]]</f>
        <v>0</v>
      </c>
      <c r="F58" s="21" t="str">
        <f t="shared" si="0"/>
        <v/>
      </c>
      <c r="G58" s="22"/>
    </row>
    <row r="59" spans="2:7" x14ac:dyDescent="0.2">
      <c r="B59" s="58" t="str">
        <f>'Wzorzec kategorii'!B22</f>
        <v>.</v>
      </c>
      <c r="C59" s="47">
        <f>Tabela718[[#This Row],[Kolumna2]]+Tabela71867[[#This Row],[Kolumna2]]+Tabela71899[[#This Row],[Kolumna2]]+Tabela718131[[#This Row],[Kolumna2]]+Tabela718163[[#This Row],[Kolumna2]]+Tabela718195[[#This Row],[Kolumna2]]+Tabela718227[[#This Row],[Kolumna2]]+Tabela718259[[#This Row],[Kolumna2]]+Tabela718291[[#This Row],[Kolumna2]]+Tabela718323[[#This Row],[Kolumna2]]+Tabela718368[[#This Row],[Kolumna2]]+Tabela718413[[#This Row],[Kolumna2]]</f>
        <v>0</v>
      </c>
      <c r="D59" s="47">
        <f>Tabela718[[#This Row],[Kolumna3]]+Tabela71867[[#This Row],[Kolumna3]]+Tabela71899[[#This Row],[Kolumna3]]+Tabela718131[[#This Row],[Kolumna3]]+Tabela718163[[#This Row],[Kolumna3]]+Tabela718195[[#This Row],[Kolumna3]]+Tabela718227[[#This Row],[Kolumna3]]+Tabela718259[[#This Row],[Kolumna3]]+Tabela718291[[#This Row],[Kolumna3]]+Tabela718323[[#This Row],[Kolumna3]]+Tabela718368[[#This Row],[Kolumna3]]+Tabela718413[[#This Row],[Kolumna3]]</f>
        <v>0</v>
      </c>
      <c r="E59" s="20">
        <f>Tabela718445[[#This Row],[Kolumna3]]-Tabela718445[[#This Row],[Kolumna2]]</f>
        <v>0</v>
      </c>
      <c r="F59" s="53" t="str">
        <f t="shared" si="0"/>
        <v/>
      </c>
      <c r="G59" s="22"/>
    </row>
    <row r="60" spans="2:7" x14ac:dyDescent="0.2">
      <c r="B60" s="58" t="str">
        <f>'Wzorzec kategorii'!B23</f>
        <v>.</v>
      </c>
      <c r="C60" s="47">
        <f>Tabela718[[#This Row],[Kolumna2]]+Tabela71867[[#This Row],[Kolumna2]]+Tabela71899[[#This Row],[Kolumna2]]+Tabela718131[[#This Row],[Kolumna2]]+Tabela718163[[#This Row],[Kolumna2]]+Tabela718195[[#This Row],[Kolumna2]]+Tabela718227[[#This Row],[Kolumna2]]+Tabela718259[[#This Row],[Kolumna2]]+Tabela718291[[#This Row],[Kolumna2]]+Tabela718323[[#This Row],[Kolumna2]]+Tabela718368[[#This Row],[Kolumna2]]+Tabela718413[[#This Row],[Kolumna2]]</f>
        <v>0</v>
      </c>
      <c r="D60" s="47">
        <f>Tabela718[[#This Row],[Kolumna3]]+Tabela71867[[#This Row],[Kolumna3]]+Tabela71899[[#This Row],[Kolumna3]]+Tabela718131[[#This Row],[Kolumna3]]+Tabela718163[[#This Row],[Kolumna3]]+Tabela718195[[#This Row],[Kolumna3]]+Tabela718227[[#This Row],[Kolumna3]]+Tabela718259[[#This Row],[Kolumna3]]+Tabela718291[[#This Row],[Kolumna3]]+Tabela718323[[#This Row],[Kolumna3]]+Tabela718368[[#This Row],[Kolumna3]]+Tabela718413[[#This Row],[Kolumna3]]</f>
        <v>0</v>
      </c>
      <c r="E60" s="20">
        <f>Tabela718445[[#This Row],[Kolumna3]]-Tabela718445[[#This Row],[Kolumna2]]</f>
        <v>0</v>
      </c>
      <c r="F60" s="53" t="str">
        <f t="shared" si="0"/>
        <v/>
      </c>
      <c r="G60" s="22"/>
    </row>
    <row r="61" spans="2:7" x14ac:dyDescent="0.2">
      <c r="B61" s="58" t="str">
        <f>'Wzorzec kategorii'!B24</f>
        <v>.</v>
      </c>
      <c r="C61" s="47">
        <f>Tabela718[[#This Row],[Kolumna2]]+Tabela71867[[#This Row],[Kolumna2]]+Tabela71899[[#This Row],[Kolumna2]]+Tabela718131[[#This Row],[Kolumna2]]+Tabela718163[[#This Row],[Kolumna2]]+Tabela718195[[#This Row],[Kolumna2]]+Tabela718227[[#This Row],[Kolumna2]]+Tabela718259[[#This Row],[Kolumna2]]+Tabela718291[[#This Row],[Kolumna2]]+Tabela718323[[#This Row],[Kolumna2]]+Tabela718368[[#This Row],[Kolumna2]]+Tabela718413[[#This Row],[Kolumna2]]</f>
        <v>0</v>
      </c>
      <c r="D61" s="47">
        <f>Tabela718[[#This Row],[Kolumna3]]+Tabela71867[[#This Row],[Kolumna3]]+Tabela71899[[#This Row],[Kolumna3]]+Tabela718131[[#This Row],[Kolumna3]]+Tabela718163[[#This Row],[Kolumna3]]+Tabela718195[[#This Row],[Kolumna3]]+Tabela718227[[#This Row],[Kolumna3]]+Tabela718259[[#This Row],[Kolumna3]]+Tabela718291[[#This Row],[Kolumna3]]+Tabela718323[[#This Row],[Kolumna3]]+Tabela718368[[#This Row],[Kolumna3]]+Tabela718413[[#This Row],[Kolumna3]]</f>
        <v>0</v>
      </c>
      <c r="E61" s="20">
        <f>Tabela718445[[#This Row],[Kolumna3]]-Tabela718445[[#This Row],[Kolumna2]]</f>
        <v>0</v>
      </c>
      <c r="F61" s="53" t="str">
        <f t="shared" si="0"/>
        <v/>
      </c>
      <c r="G61" s="22"/>
    </row>
    <row r="62" spans="2:7" x14ac:dyDescent="0.2">
      <c r="B62" s="58" t="str">
        <f>'Wzorzec kategorii'!B25</f>
        <v>.</v>
      </c>
      <c r="C62" s="47">
        <f>Tabela718[[#This Row],[Kolumna2]]+Tabela71867[[#This Row],[Kolumna2]]+Tabela71899[[#This Row],[Kolumna2]]+Tabela718131[[#This Row],[Kolumna2]]+Tabela718163[[#This Row],[Kolumna2]]+Tabela718195[[#This Row],[Kolumna2]]+Tabela718227[[#This Row],[Kolumna2]]+Tabela718259[[#This Row],[Kolumna2]]+Tabela718291[[#This Row],[Kolumna2]]+Tabela718323[[#This Row],[Kolumna2]]+Tabela718368[[#This Row],[Kolumna2]]+Tabela718413[[#This Row],[Kolumna2]]</f>
        <v>0</v>
      </c>
      <c r="D62" s="47">
        <f>Tabela718[[#This Row],[Kolumna3]]+Tabela71867[[#This Row],[Kolumna3]]+Tabela71899[[#This Row],[Kolumna3]]+Tabela718131[[#This Row],[Kolumna3]]+Tabela718163[[#This Row],[Kolumna3]]+Tabela718195[[#This Row],[Kolumna3]]+Tabela718227[[#This Row],[Kolumna3]]+Tabela718259[[#This Row],[Kolumna3]]+Tabela718291[[#This Row],[Kolumna3]]+Tabela718323[[#This Row],[Kolumna3]]+Tabela718368[[#This Row],[Kolumna3]]+Tabela718413[[#This Row],[Kolumna3]]</f>
        <v>0</v>
      </c>
      <c r="E62" s="20">
        <f>Tabela718445[[#This Row],[Kolumna3]]-Tabela718445[[#This Row],[Kolumna2]]</f>
        <v>0</v>
      </c>
      <c r="F62" s="53" t="str">
        <f t="shared" si="0"/>
        <v/>
      </c>
      <c r="G62" s="22"/>
    </row>
    <row r="63" spans="2:7" x14ac:dyDescent="0.2">
      <c r="B63" s="58" t="str">
        <f>'Wzorzec kategorii'!B26</f>
        <v>.</v>
      </c>
      <c r="C63" s="47">
        <f>Tabela718[[#This Row],[Kolumna2]]+Tabela71867[[#This Row],[Kolumna2]]+Tabela71899[[#This Row],[Kolumna2]]+Tabela718131[[#This Row],[Kolumna2]]+Tabela718163[[#This Row],[Kolumna2]]+Tabela718195[[#This Row],[Kolumna2]]+Tabela718227[[#This Row],[Kolumna2]]+Tabela718259[[#This Row],[Kolumna2]]+Tabela718291[[#This Row],[Kolumna2]]+Tabela718323[[#This Row],[Kolumna2]]+Tabela718368[[#This Row],[Kolumna2]]+Tabela718413[[#This Row],[Kolumna2]]</f>
        <v>0</v>
      </c>
      <c r="D63" s="47">
        <f>Tabela718[[#This Row],[Kolumna3]]+Tabela71867[[#This Row],[Kolumna3]]+Tabela71899[[#This Row],[Kolumna3]]+Tabela718131[[#This Row],[Kolumna3]]+Tabela718163[[#This Row],[Kolumna3]]+Tabela718195[[#This Row],[Kolumna3]]+Tabela718227[[#This Row],[Kolumna3]]+Tabela718259[[#This Row],[Kolumna3]]+Tabela718291[[#This Row],[Kolumna3]]+Tabela718323[[#This Row],[Kolumna3]]+Tabela718368[[#This Row],[Kolumna3]]+Tabela718413[[#This Row],[Kolumna3]]</f>
        <v>0</v>
      </c>
      <c r="E63" s="20">
        <f>Tabela718445[[#This Row],[Kolumna3]]-Tabela718445[[#This Row],[Kolumna2]]</f>
        <v>0</v>
      </c>
      <c r="F63" s="53" t="str">
        <f t="shared" si="0"/>
        <v/>
      </c>
      <c r="G63" s="22"/>
    </row>
    <row r="64" spans="2:7" x14ac:dyDescent="0.2">
      <c r="B64" s="58" t="str">
        <f>'Wzorzec kategorii'!B27</f>
        <v>.</v>
      </c>
      <c r="C64" s="47">
        <f>Tabela718[[#This Row],[Kolumna2]]+Tabela71867[[#This Row],[Kolumna2]]+Tabela71899[[#This Row],[Kolumna2]]+Tabela718131[[#This Row],[Kolumna2]]+Tabela718163[[#This Row],[Kolumna2]]+Tabela718195[[#This Row],[Kolumna2]]+Tabela718227[[#This Row],[Kolumna2]]+Tabela718259[[#This Row],[Kolumna2]]+Tabela718291[[#This Row],[Kolumna2]]+Tabela718323[[#This Row],[Kolumna2]]+Tabela718368[[#This Row],[Kolumna2]]+Tabela718413[[#This Row],[Kolumna2]]</f>
        <v>0</v>
      </c>
      <c r="D64" s="47">
        <f>Tabela718[[#This Row],[Kolumna3]]+Tabela71867[[#This Row],[Kolumna3]]+Tabela71899[[#This Row],[Kolumna3]]+Tabela718131[[#This Row],[Kolumna3]]+Tabela718163[[#This Row],[Kolumna3]]+Tabela718195[[#This Row],[Kolumna3]]+Tabela718227[[#This Row],[Kolumna3]]+Tabela718259[[#This Row],[Kolumna3]]+Tabela718291[[#This Row],[Kolumna3]]+Tabela718323[[#This Row],[Kolumna3]]+Tabela718368[[#This Row],[Kolumna3]]+Tabela718413[[#This Row],[Kolumna3]]</f>
        <v>0</v>
      </c>
      <c r="E64" s="20">
        <f>Tabela718445[[#This Row],[Kolumna3]]-Tabela718445[[#This Row],[Kolumna2]]</f>
        <v>0</v>
      </c>
      <c r="F64" s="53" t="str">
        <f t="shared" si="0"/>
        <v/>
      </c>
      <c r="G64" s="22"/>
    </row>
    <row r="65" spans="2:7" x14ac:dyDescent="0.2">
      <c r="B65" s="58" t="str">
        <f>'Wzorzec kategorii'!B28</f>
        <v>.</v>
      </c>
      <c r="C65" s="47">
        <f>Tabela718[[#This Row],[Kolumna2]]+Tabela71867[[#This Row],[Kolumna2]]+Tabela71899[[#This Row],[Kolumna2]]+Tabela718131[[#This Row],[Kolumna2]]+Tabela718163[[#This Row],[Kolumna2]]+Tabela718195[[#This Row],[Kolumna2]]+Tabela718227[[#This Row],[Kolumna2]]+Tabela718259[[#This Row],[Kolumna2]]+Tabela718291[[#This Row],[Kolumna2]]+Tabela718323[[#This Row],[Kolumna2]]+Tabela718368[[#This Row],[Kolumna2]]+Tabela718413[[#This Row],[Kolumna2]]</f>
        <v>0</v>
      </c>
      <c r="D65" s="47">
        <f>Tabela718[[#This Row],[Kolumna3]]+Tabela71867[[#This Row],[Kolumna3]]+Tabela71899[[#This Row],[Kolumna3]]+Tabela718131[[#This Row],[Kolumna3]]+Tabela718163[[#This Row],[Kolumna3]]+Tabela718195[[#This Row],[Kolumna3]]+Tabela718227[[#This Row],[Kolumna3]]+Tabela718259[[#This Row],[Kolumna3]]+Tabela718291[[#This Row],[Kolumna3]]+Tabela718323[[#This Row],[Kolumna3]]+Tabela718368[[#This Row],[Kolumna3]]+Tabela718413[[#This Row],[Kolumna3]]</f>
        <v>0</v>
      </c>
      <c r="E65" s="20">
        <f>Tabela718445[[#This Row],[Kolumna3]]-Tabela718445[[#This Row],[Kolumna2]]</f>
        <v>0</v>
      </c>
      <c r="F65" s="53" t="str">
        <f t="shared" si="0"/>
        <v/>
      </c>
      <c r="G65" s="22"/>
    </row>
    <row r="66" spans="2:7" x14ac:dyDescent="0.2">
      <c r="B66" s="58" t="str">
        <f>'Wzorzec kategorii'!B29</f>
        <v>.</v>
      </c>
      <c r="C66" s="47">
        <f>Tabela718[[#This Row],[Kolumna2]]+Tabela71867[[#This Row],[Kolumna2]]+Tabela71899[[#This Row],[Kolumna2]]+Tabela718131[[#This Row],[Kolumna2]]+Tabela718163[[#This Row],[Kolumna2]]+Tabela718195[[#This Row],[Kolumna2]]+Tabela718227[[#This Row],[Kolumna2]]+Tabela718259[[#This Row],[Kolumna2]]+Tabela718291[[#This Row],[Kolumna2]]+Tabela718323[[#This Row],[Kolumna2]]+Tabela718368[[#This Row],[Kolumna2]]+Tabela718413[[#This Row],[Kolumna2]]</f>
        <v>0</v>
      </c>
      <c r="D66" s="47">
        <f>Tabela718[[#This Row],[Kolumna3]]+Tabela71867[[#This Row],[Kolumna3]]+Tabela71899[[#This Row],[Kolumna3]]+Tabela718131[[#This Row],[Kolumna3]]+Tabela718163[[#This Row],[Kolumna3]]+Tabela718195[[#This Row],[Kolumna3]]+Tabela718227[[#This Row],[Kolumna3]]+Tabela718259[[#This Row],[Kolumna3]]+Tabela718291[[#This Row],[Kolumna3]]+Tabela718323[[#This Row],[Kolumna3]]+Tabela718368[[#This Row],[Kolumna3]]+Tabela718413[[#This Row],[Kolumna3]]</f>
        <v>0</v>
      </c>
      <c r="E66" s="20">
        <f>Tabela718445[[#This Row],[Kolumna3]]-Tabela718445[[#This Row],[Kolumna2]]</f>
        <v>0</v>
      </c>
      <c r="F66" s="53" t="str">
        <f t="shared" si="0"/>
        <v/>
      </c>
      <c r="G66" s="22"/>
    </row>
    <row r="67" spans="2:7" x14ac:dyDescent="0.2">
      <c r="B67" s="5" t="s">
        <v>30</v>
      </c>
    </row>
    <row r="68" spans="2:7" ht="19" x14ac:dyDescent="0.25">
      <c r="B68" s="44" t="s">
        <v>25</v>
      </c>
    </row>
    <row r="70" spans="2:7" ht="30" x14ac:dyDescent="0.2">
      <c r="B70" s="8" t="s">
        <v>0</v>
      </c>
      <c r="C70" s="9" t="s">
        <v>131</v>
      </c>
      <c r="D70" s="10" t="s">
        <v>135</v>
      </c>
      <c r="E70" s="8" t="s">
        <v>129</v>
      </c>
      <c r="F70" s="9" t="s">
        <v>140</v>
      </c>
      <c r="G70" s="8" t="s">
        <v>41</v>
      </c>
    </row>
    <row r="71" spans="2:7" ht="24" customHeight="1" x14ac:dyDescent="0.2">
      <c r="B71" s="39" t="s">
        <v>139</v>
      </c>
      <c r="C71" s="40">
        <f>C73+C85+C97+C109+C121+C133+C145+C157+C169+C181+C193+C205+C217+C229+C241</f>
        <v>0</v>
      </c>
      <c r="D71" s="40">
        <f>D73+D85+D97+D109+D121+D133+D145+D157+D169+D181+D193+D205+D217+D229+D241</f>
        <v>0</v>
      </c>
      <c r="E71" s="40">
        <f>C71-D71</f>
        <v>0</v>
      </c>
      <c r="F71" s="8" t="s">
        <v>141</v>
      </c>
      <c r="G71" s="8"/>
    </row>
    <row r="73" spans="2:7" x14ac:dyDescent="0.2">
      <c r="B73" s="14" t="str">
        <f>'Wzorzec kategorii'!B35</f>
        <v>Jedzenie</v>
      </c>
      <c r="C73" s="15">
        <f>SUM(Jedzenie2443[[#All],[0]])</f>
        <v>0</v>
      </c>
      <c r="D73" s="16">
        <f>SUM(Jedzenie2443[[#All],[02]])</f>
        <v>0</v>
      </c>
      <c r="E73" s="15">
        <f t="shared" ref="E73:E83" si="1">C73-D73</f>
        <v>0</v>
      </c>
      <c r="F73" s="17" t="str">
        <f t="shared" ref="F73:F83" si="2">IFERROR(D73/C73,"")</f>
        <v/>
      </c>
      <c r="G73" s="23"/>
    </row>
    <row r="74" spans="2:7" x14ac:dyDescent="0.2">
      <c r="B74" s="22" t="str">
        <f>'Wzorzec kategorii'!B36</f>
        <v>Jedzenie dom</v>
      </c>
      <c r="C74" s="47">
        <f>Jedzenie2[[#This Row],[0]]+Jedzenie265[[#This Row],[0]]+Jedzenie297[[#This Row],[0]]+Jedzenie2129[[#This Row],[0]]+Jedzenie2161[[#This Row],[0]]+Jedzenie2193[[#This Row],[0]]+Jedzenie2225[[#This Row],[0]]+Jedzenie2257[[#This Row],[0]]+Jedzenie2289[[#This Row],[0]]+Jedzenie2321[[#This Row],[0]]+Jedzenie2366[[#This Row],[0]]+Jedzenie2411[[#This Row],[0]]</f>
        <v>0</v>
      </c>
      <c r="D74" s="20">
        <f>Jedzenie2[[#This Row],[02]]+Jedzenie265[[#This Row],[02]]+Jedzenie297[[#This Row],[02]]+Jedzenie2129[[#This Row],[02]]+Jedzenie2161[[#This Row],[02]]+Jedzenie2193[[#This Row],[02]]+Jedzenie2225[[#This Row],[02]]+Jedzenie2257[[#This Row],[02]]+Jedzenie2289[[#This Row],[02]]+Jedzenie2321[[#This Row],[02]]+Jedzenie2366[[#This Row],[02]]+Jedzenie2411[[#This Row],[02]]</f>
        <v>0</v>
      </c>
      <c r="E74" s="20">
        <f t="shared" si="1"/>
        <v>0</v>
      </c>
      <c r="F74" s="21" t="str">
        <f t="shared" si="2"/>
        <v/>
      </c>
      <c r="G74" s="24"/>
    </row>
    <row r="75" spans="2:7" x14ac:dyDescent="0.2">
      <c r="B75" s="22" t="str">
        <f>'Wzorzec kategorii'!B37</f>
        <v>Jedzenie miasto</v>
      </c>
      <c r="C75" s="47">
        <f>Jedzenie2[[#This Row],[0]]+Jedzenie265[[#This Row],[0]]+Jedzenie297[[#This Row],[0]]+Jedzenie2129[[#This Row],[0]]+Jedzenie2161[[#This Row],[0]]+Jedzenie2193[[#This Row],[0]]+Jedzenie2225[[#This Row],[0]]+Jedzenie2257[[#This Row],[0]]+Jedzenie2289[[#This Row],[0]]+Jedzenie2321[[#This Row],[0]]+Jedzenie2366[[#This Row],[0]]+Jedzenie2411[[#This Row],[0]]</f>
        <v>0</v>
      </c>
      <c r="D75" s="20">
        <f>Jedzenie2[[#This Row],[02]]+Jedzenie265[[#This Row],[02]]+Jedzenie297[[#This Row],[02]]+Jedzenie2129[[#This Row],[02]]+Jedzenie2161[[#This Row],[02]]+Jedzenie2193[[#This Row],[02]]+Jedzenie2225[[#This Row],[02]]+Jedzenie2257[[#This Row],[02]]+Jedzenie2289[[#This Row],[02]]+Jedzenie2321[[#This Row],[02]]+Jedzenie2366[[#This Row],[02]]+Jedzenie2411[[#This Row],[02]]</f>
        <v>0</v>
      </c>
      <c r="E75" s="20">
        <f t="shared" si="1"/>
        <v>0</v>
      </c>
      <c r="F75" s="21" t="str">
        <f t="shared" si="2"/>
        <v/>
      </c>
      <c r="G75" s="24"/>
    </row>
    <row r="76" spans="2:7" x14ac:dyDescent="0.2">
      <c r="B76" s="22" t="str">
        <f>'Wzorzec kategorii'!B38</f>
        <v>Jedzenie praca</v>
      </c>
      <c r="C76" s="47">
        <f>Jedzenie2[[#This Row],[0]]+Jedzenie265[[#This Row],[0]]+Jedzenie297[[#This Row],[0]]+Jedzenie2129[[#This Row],[0]]+Jedzenie2161[[#This Row],[0]]+Jedzenie2193[[#This Row],[0]]+Jedzenie2225[[#This Row],[0]]+Jedzenie2257[[#This Row],[0]]+Jedzenie2289[[#This Row],[0]]+Jedzenie2321[[#This Row],[0]]+Jedzenie2366[[#This Row],[0]]+Jedzenie2411[[#This Row],[0]]</f>
        <v>0</v>
      </c>
      <c r="D76" s="20">
        <f>Jedzenie2[[#This Row],[02]]+Jedzenie265[[#This Row],[02]]+Jedzenie297[[#This Row],[02]]+Jedzenie2129[[#This Row],[02]]+Jedzenie2161[[#This Row],[02]]+Jedzenie2193[[#This Row],[02]]+Jedzenie2225[[#This Row],[02]]+Jedzenie2257[[#This Row],[02]]+Jedzenie2289[[#This Row],[02]]+Jedzenie2321[[#This Row],[02]]+Jedzenie2366[[#This Row],[02]]+Jedzenie2411[[#This Row],[02]]</f>
        <v>0</v>
      </c>
      <c r="E76" s="20">
        <f t="shared" si="1"/>
        <v>0</v>
      </c>
      <c r="F76" s="21" t="str">
        <f t="shared" si="2"/>
        <v/>
      </c>
      <c r="G76" s="24"/>
    </row>
    <row r="77" spans="2:7" x14ac:dyDescent="0.2">
      <c r="B77" s="22" t="str">
        <f>'Wzorzec kategorii'!B39</f>
        <v>Alkohol</v>
      </c>
      <c r="C77" s="47">
        <f>Jedzenie2[[#This Row],[0]]+Jedzenie265[[#This Row],[0]]+Jedzenie297[[#This Row],[0]]+Jedzenie2129[[#This Row],[0]]+Jedzenie2161[[#This Row],[0]]+Jedzenie2193[[#This Row],[0]]+Jedzenie2225[[#This Row],[0]]+Jedzenie2257[[#This Row],[0]]+Jedzenie2289[[#This Row],[0]]+Jedzenie2321[[#This Row],[0]]+Jedzenie2366[[#This Row],[0]]+Jedzenie2411[[#This Row],[0]]</f>
        <v>0</v>
      </c>
      <c r="D77" s="20">
        <f>Jedzenie2[[#This Row],[02]]+Jedzenie265[[#This Row],[02]]+Jedzenie297[[#This Row],[02]]+Jedzenie2129[[#This Row],[02]]+Jedzenie2161[[#This Row],[02]]+Jedzenie2193[[#This Row],[02]]+Jedzenie2225[[#This Row],[02]]+Jedzenie2257[[#This Row],[02]]+Jedzenie2289[[#This Row],[02]]+Jedzenie2321[[#This Row],[02]]+Jedzenie2366[[#This Row],[02]]+Jedzenie2411[[#This Row],[02]]</f>
        <v>0</v>
      </c>
      <c r="E77" s="20">
        <f t="shared" si="1"/>
        <v>0</v>
      </c>
      <c r="F77" s="21" t="str">
        <f t="shared" si="2"/>
        <v/>
      </c>
      <c r="G77" s="24"/>
    </row>
    <row r="78" spans="2:7" x14ac:dyDescent="0.2">
      <c r="B78" s="22" t="str">
        <f>'Wzorzec kategorii'!B40</f>
        <v>Inne</v>
      </c>
      <c r="C78" s="47">
        <f>Jedzenie2[[#This Row],[0]]+Jedzenie265[[#This Row],[0]]+Jedzenie297[[#This Row],[0]]+Jedzenie2129[[#This Row],[0]]+Jedzenie2161[[#This Row],[0]]+Jedzenie2193[[#This Row],[0]]+Jedzenie2225[[#This Row],[0]]+Jedzenie2257[[#This Row],[0]]+Jedzenie2289[[#This Row],[0]]+Jedzenie2321[[#This Row],[0]]+Jedzenie2366[[#This Row],[0]]+Jedzenie2411[[#This Row],[0]]</f>
        <v>0</v>
      </c>
      <c r="D78" s="20">
        <f>Jedzenie2[[#This Row],[02]]+Jedzenie265[[#This Row],[02]]+Jedzenie297[[#This Row],[02]]+Jedzenie2129[[#This Row],[02]]+Jedzenie2161[[#This Row],[02]]+Jedzenie2193[[#This Row],[02]]+Jedzenie2225[[#This Row],[02]]+Jedzenie2257[[#This Row],[02]]+Jedzenie2289[[#This Row],[02]]+Jedzenie2321[[#This Row],[02]]+Jedzenie2366[[#This Row],[02]]+Jedzenie2411[[#This Row],[02]]</f>
        <v>0</v>
      </c>
      <c r="E78" s="20">
        <f t="shared" si="1"/>
        <v>0</v>
      </c>
      <c r="F78" s="21" t="str">
        <f t="shared" si="2"/>
        <v/>
      </c>
      <c r="G78" s="24"/>
    </row>
    <row r="79" spans="2:7" x14ac:dyDescent="0.2">
      <c r="B79" s="22" t="str">
        <f>'Wzorzec kategorii'!B41</f>
        <v>.</v>
      </c>
      <c r="C79" s="47">
        <f>Jedzenie2[[#This Row],[0]]+Jedzenie265[[#This Row],[0]]+Jedzenie297[[#This Row],[0]]+Jedzenie2129[[#This Row],[0]]+Jedzenie2161[[#This Row],[0]]+Jedzenie2193[[#This Row],[0]]+Jedzenie2225[[#This Row],[0]]+Jedzenie2257[[#This Row],[0]]+Jedzenie2289[[#This Row],[0]]+Jedzenie2321[[#This Row],[0]]+Jedzenie2366[[#This Row],[0]]+Jedzenie2411[[#This Row],[0]]</f>
        <v>0</v>
      </c>
      <c r="D79" s="20">
        <f>Jedzenie2[[#This Row],[02]]+Jedzenie265[[#This Row],[02]]+Jedzenie297[[#This Row],[02]]+Jedzenie2129[[#This Row],[02]]+Jedzenie2161[[#This Row],[02]]+Jedzenie2193[[#This Row],[02]]+Jedzenie2225[[#This Row],[02]]+Jedzenie2257[[#This Row],[02]]+Jedzenie2289[[#This Row],[02]]+Jedzenie2321[[#This Row],[02]]+Jedzenie2366[[#This Row],[02]]+Jedzenie2411[[#This Row],[02]]</f>
        <v>0</v>
      </c>
      <c r="E79" s="20">
        <f t="shared" si="1"/>
        <v>0</v>
      </c>
      <c r="F79" s="53" t="str">
        <f t="shared" si="2"/>
        <v/>
      </c>
      <c r="G79" s="54"/>
    </row>
    <row r="80" spans="2:7" x14ac:dyDescent="0.2">
      <c r="B80" s="22" t="str">
        <f>'Wzorzec kategorii'!B42</f>
        <v>.</v>
      </c>
      <c r="C80" s="47">
        <f>Jedzenie2[[#This Row],[0]]+Jedzenie265[[#This Row],[0]]+Jedzenie297[[#This Row],[0]]+Jedzenie2129[[#This Row],[0]]+Jedzenie2161[[#This Row],[0]]+Jedzenie2193[[#This Row],[0]]+Jedzenie2225[[#This Row],[0]]+Jedzenie2257[[#This Row],[0]]+Jedzenie2289[[#This Row],[0]]+Jedzenie2321[[#This Row],[0]]+Jedzenie2366[[#This Row],[0]]+Jedzenie2411[[#This Row],[0]]</f>
        <v>0</v>
      </c>
      <c r="D80" s="20">
        <f>Jedzenie2[[#This Row],[02]]+Jedzenie265[[#This Row],[02]]+Jedzenie297[[#This Row],[02]]+Jedzenie2129[[#This Row],[02]]+Jedzenie2161[[#This Row],[02]]+Jedzenie2193[[#This Row],[02]]+Jedzenie2225[[#This Row],[02]]+Jedzenie2257[[#This Row],[02]]+Jedzenie2289[[#This Row],[02]]+Jedzenie2321[[#This Row],[02]]+Jedzenie2366[[#This Row],[02]]+Jedzenie2411[[#This Row],[02]]</f>
        <v>0</v>
      </c>
      <c r="E80" s="20">
        <f t="shared" si="1"/>
        <v>0</v>
      </c>
      <c r="F80" s="53" t="str">
        <f t="shared" si="2"/>
        <v/>
      </c>
      <c r="G80" s="54"/>
    </row>
    <row r="81" spans="2:10" x14ac:dyDescent="0.2">
      <c r="B81" s="22" t="str">
        <f>'Wzorzec kategorii'!B43</f>
        <v>.</v>
      </c>
      <c r="C81" s="47">
        <f>Jedzenie2[[#This Row],[0]]+Jedzenie265[[#This Row],[0]]+Jedzenie297[[#This Row],[0]]+Jedzenie2129[[#This Row],[0]]+Jedzenie2161[[#This Row],[0]]+Jedzenie2193[[#This Row],[0]]+Jedzenie2225[[#This Row],[0]]+Jedzenie2257[[#This Row],[0]]+Jedzenie2289[[#This Row],[0]]+Jedzenie2321[[#This Row],[0]]+Jedzenie2366[[#This Row],[0]]+Jedzenie2411[[#This Row],[0]]</f>
        <v>0</v>
      </c>
      <c r="D81" s="20">
        <f>Jedzenie2[[#This Row],[02]]+Jedzenie265[[#This Row],[02]]+Jedzenie297[[#This Row],[02]]+Jedzenie2129[[#This Row],[02]]+Jedzenie2161[[#This Row],[02]]+Jedzenie2193[[#This Row],[02]]+Jedzenie2225[[#This Row],[02]]+Jedzenie2257[[#This Row],[02]]+Jedzenie2289[[#This Row],[02]]+Jedzenie2321[[#This Row],[02]]+Jedzenie2366[[#This Row],[02]]+Jedzenie2411[[#This Row],[02]]</f>
        <v>0</v>
      </c>
      <c r="E81" s="20">
        <f t="shared" si="1"/>
        <v>0</v>
      </c>
      <c r="F81" s="53" t="str">
        <f t="shared" si="2"/>
        <v/>
      </c>
      <c r="G81" s="54"/>
    </row>
    <row r="82" spans="2:10" x14ac:dyDescent="0.2">
      <c r="B82" s="22" t="str">
        <f>'Wzorzec kategorii'!B44</f>
        <v>.</v>
      </c>
      <c r="C82" s="47">
        <f>Jedzenie2[[#This Row],[0]]+Jedzenie265[[#This Row],[0]]+Jedzenie297[[#This Row],[0]]+Jedzenie2129[[#This Row],[0]]+Jedzenie2161[[#This Row],[0]]+Jedzenie2193[[#This Row],[0]]+Jedzenie2225[[#This Row],[0]]+Jedzenie2257[[#This Row],[0]]+Jedzenie2289[[#This Row],[0]]+Jedzenie2321[[#This Row],[0]]+Jedzenie2366[[#This Row],[0]]+Jedzenie2411[[#This Row],[0]]</f>
        <v>0</v>
      </c>
      <c r="D82" s="20">
        <f>Jedzenie2[[#This Row],[02]]+Jedzenie265[[#This Row],[02]]+Jedzenie297[[#This Row],[02]]+Jedzenie2129[[#This Row],[02]]+Jedzenie2161[[#This Row],[02]]+Jedzenie2193[[#This Row],[02]]+Jedzenie2225[[#This Row],[02]]+Jedzenie2257[[#This Row],[02]]+Jedzenie2289[[#This Row],[02]]+Jedzenie2321[[#This Row],[02]]+Jedzenie2366[[#This Row],[02]]+Jedzenie2411[[#This Row],[02]]</f>
        <v>0</v>
      </c>
      <c r="E82" s="20">
        <f t="shared" si="1"/>
        <v>0</v>
      </c>
      <c r="F82" s="53" t="str">
        <f t="shared" si="2"/>
        <v/>
      </c>
      <c r="G82" s="54"/>
    </row>
    <row r="83" spans="2:10" x14ac:dyDescent="0.2">
      <c r="B83" s="22" t="str">
        <f>'Wzorzec kategorii'!B45</f>
        <v>.</v>
      </c>
      <c r="C83" s="47">
        <f>Jedzenie2[[#This Row],[0]]+Jedzenie265[[#This Row],[0]]+Jedzenie297[[#This Row],[0]]+Jedzenie2129[[#This Row],[0]]+Jedzenie2161[[#This Row],[0]]+Jedzenie2193[[#This Row],[0]]+Jedzenie2225[[#This Row],[0]]+Jedzenie2257[[#This Row],[0]]+Jedzenie2289[[#This Row],[0]]+Jedzenie2321[[#This Row],[0]]+Jedzenie2366[[#This Row],[0]]+Jedzenie2411[[#This Row],[0]]</f>
        <v>0</v>
      </c>
      <c r="D83" s="20">
        <f>Jedzenie2[[#This Row],[02]]+Jedzenie265[[#This Row],[02]]+Jedzenie297[[#This Row],[02]]+Jedzenie2129[[#This Row],[02]]+Jedzenie2161[[#This Row],[02]]+Jedzenie2193[[#This Row],[02]]+Jedzenie2225[[#This Row],[02]]+Jedzenie2257[[#This Row],[02]]+Jedzenie2289[[#This Row],[02]]+Jedzenie2321[[#This Row],[02]]+Jedzenie2366[[#This Row],[02]]+Jedzenie2411[[#This Row],[02]]</f>
        <v>0</v>
      </c>
      <c r="E83" s="20">
        <f t="shared" si="1"/>
        <v>0</v>
      </c>
      <c r="F83" s="53" t="str">
        <f t="shared" si="2"/>
        <v/>
      </c>
      <c r="G83" s="54"/>
    </row>
    <row r="84" spans="2:10" x14ac:dyDescent="0.2">
      <c r="B84" s="5" t="s">
        <v>30</v>
      </c>
      <c r="C84" s="6"/>
      <c r="D84" s="4"/>
      <c r="E84" s="4"/>
      <c r="F84" s="4"/>
      <c r="G84" s="4"/>
    </row>
    <row r="85" spans="2:10" x14ac:dyDescent="0.2">
      <c r="B85" s="14" t="str">
        <f>'Wzorzec kategorii'!B47</f>
        <v>Mieszkanie / dom</v>
      </c>
      <c r="C85" s="15">
        <f>SUM(Tabela431447[[#All],[Kolumna2]])</f>
        <v>0</v>
      </c>
      <c r="D85" s="16">
        <f>SUM(Tabela431447[[#All],[Kolumna3]])</f>
        <v>0</v>
      </c>
      <c r="E85" s="15">
        <f>C85-D85</f>
        <v>0</v>
      </c>
      <c r="F85" s="17" t="str">
        <f>IFERROR(D85/C85,"")</f>
        <v/>
      </c>
      <c r="G85" s="23"/>
      <c r="I85" s="25"/>
      <c r="J85" s="25"/>
    </row>
    <row r="86" spans="2:10" x14ac:dyDescent="0.2">
      <c r="B86" s="22" t="str">
        <f>'Wzorzec kategorii'!B48</f>
        <v>Czynsz</v>
      </c>
      <c r="C86" s="47">
        <f>Tabela431[[#This Row],[Kolumna2]]+Tabela43169[[#This Row],[Kolumna2]]+Tabela431101[[#This Row],[Kolumna2]]+Tabela431133[[#This Row],[Kolumna2]]+Tabela431165[[#This Row],[Kolumna2]]+Tabela431197[[#This Row],[Kolumna2]]+Tabela431229[[#This Row],[Kolumna2]]+Tabela431261[[#This Row],[Kolumna2]]+Tabela431293[[#This Row],[Kolumna2]]+Tabela431325[[#This Row],[Kolumna2]]+Tabela431370[[#This Row],[Kolumna2]]+Tabela431415[[#This Row],[Kolumna2]]</f>
        <v>0</v>
      </c>
      <c r="D86" s="20">
        <f>Tabela431[[#This Row],[Kolumna3]]+Tabela43169[[#This Row],[Kolumna3]]+Tabela431101[[#This Row],[Kolumna3]]+Tabela431133[[#This Row],[Kolumna3]]+Tabela431165[[#This Row],[Kolumna3]]+Tabela431197[[#This Row],[Kolumna3]]+Tabela431229[[#This Row],[Kolumna3]]+Tabela431261[[#This Row],[Kolumna3]]+Tabela431293[[#This Row],[Kolumna3]]+Tabela431325[[#This Row],[Kolumna3]]+Tabela431370[[#This Row],[Kolumna3]]+Tabela431415[[#This Row],[Kolumna3]]</f>
        <v>0</v>
      </c>
      <c r="E86" s="20">
        <f t="shared" ref="E86:E95" si="3">C86-D86</f>
        <v>0</v>
      </c>
      <c r="F86" s="21" t="str">
        <f t="shared" ref="F86:F95" si="4">IFERROR(D86/C86,"")</f>
        <v/>
      </c>
      <c r="G86" s="24"/>
      <c r="I86" s="25"/>
      <c r="J86" s="25"/>
    </row>
    <row r="87" spans="2:10" x14ac:dyDescent="0.2">
      <c r="B87" s="22" t="str">
        <f>'Wzorzec kategorii'!B49</f>
        <v>Woda i kanalizacja</v>
      </c>
      <c r="C87" s="47">
        <f>Tabela431[[#This Row],[Kolumna2]]+Tabela43169[[#This Row],[Kolumna2]]+Tabela431101[[#This Row],[Kolumna2]]+Tabela431133[[#This Row],[Kolumna2]]+Tabela431165[[#This Row],[Kolumna2]]+Tabela431197[[#This Row],[Kolumna2]]+Tabela431229[[#This Row],[Kolumna2]]+Tabela431261[[#This Row],[Kolumna2]]+Tabela431293[[#This Row],[Kolumna2]]+Tabela431325[[#This Row],[Kolumna2]]+Tabela431370[[#This Row],[Kolumna2]]+Tabela431415[[#This Row],[Kolumna2]]</f>
        <v>0</v>
      </c>
      <c r="D87" s="20">
        <f>Tabela431[[#This Row],[Kolumna3]]+Tabela43169[[#This Row],[Kolumna3]]+Tabela431101[[#This Row],[Kolumna3]]+Tabela431133[[#This Row],[Kolumna3]]+Tabela431165[[#This Row],[Kolumna3]]+Tabela431197[[#This Row],[Kolumna3]]+Tabela431229[[#This Row],[Kolumna3]]+Tabela431261[[#This Row],[Kolumna3]]+Tabela431293[[#This Row],[Kolumna3]]+Tabela431325[[#This Row],[Kolumna3]]+Tabela431370[[#This Row],[Kolumna3]]+Tabela431415[[#This Row],[Kolumna3]]</f>
        <v>0</v>
      </c>
      <c r="E87" s="20">
        <f t="shared" si="3"/>
        <v>0</v>
      </c>
      <c r="F87" s="21" t="str">
        <f t="shared" si="4"/>
        <v/>
      </c>
      <c r="G87" s="24"/>
      <c r="I87" s="25"/>
      <c r="J87" s="25"/>
    </row>
    <row r="88" spans="2:10" x14ac:dyDescent="0.2">
      <c r="B88" s="22" t="str">
        <f>'Wzorzec kategorii'!B50</f>
        <v>Prąd</v>
      </c>
      <c r="C88" s="47">
        <f>Tabela431[[#This Row],[Kolumna2]]+Tabela43169[[#This Row],[Kolumna2]]+Tabela431101[[#This Row],[Kolumna2]]+Tabela431133[[#This Row],[Kolumna2]]+Tabela431165[[#This Row],[Kolumna2]]+Tabela431197[[#This Row],[Kolumna2]]+Tabela431229[[#This Row],[Kolumna2]]+Tabela431261[[#This Row],[Kolumna2]]+Tabela431293[[#This Row],[Kolumna2]]+Tabela431325[[#This Row],[Kolumna2]]+Tabela431370[[#This Row],[Kolumna2]]+Tabela431415[[#This Row],[Kolumna2]]</f>
        <v>0</v>
      </c>
      <c r="D88" s="20">
        <f>Tabela431[[#This Row],[Kolumna3]]+Tabela43169[[#This Row],[Kolumna3]]+Tabela431101[[#This Row],[Kolumna3]]+Tabela431133[[#This Row],[Kolumna3]]+Tabela431165[[#This Row],[Kolumna3]]+Tabela431197[[#This Row],[Kolumna3]]+Tabela431229[[#This Row],[Kolumna3]]+Tabela431261[[#This Row],[Kolumna3]]+Tabela431293[[#This Row],[Kolumna3]]+Tabela431325[[#This Row],[Kolumna3]]+Tabela431370[[#This Row],[Kolumna3]]+Tabela431415[[#This Row],[Kolumna3]]</f>
        <v>0</v>
      </c>
      <c r="E88" s="20">
        <f t="shared" si="3"/>
        <v>0</v>
      </c>
      <c r="F88" s="21" t="str">
        <f t="shared" si="4"/>
        <v/>
      </c>
      <c r="G88" s="24"/>
      <c r="I88" s="25"/>
      <c r="J88" s="25"/>
    </row>
    <row r="89" spans="2:10" x14ac:dyDescent="0.2">
      <c r="B89" s="22" t="str">
        <f>'Wzorzec kategorii'!B51</f>
        <v>Gaz</v>
      </c>
      <c r="C89" s="47">
        <f>Tabela431[[#This Row],[Kolumna2]]+Tabela43169[[#This Row],[Kolumna2]]+Tabela431101[[#This Row],[Kolumna2]]+Tabela431133[[#This Row],[Kolumna2]]+Tabela431165[[#This Row],[Kolumna2]]+Tabela431197[[#This Row],[Kolumna2]]+Tabela431229[[#This Row],[Kolumna2]]+Tabela431261[[#This Row],[Kolumna2]]+Tabela431293[[#This Row],[Kolumna2]]+Tabela431325[[#This Row],[Kolumna2]]+Tabela431370[[#This Row],[Kolumna2]]+Tabela431415[[#This Row],[Kolumna2]]</f>
        <v>0</v>
      </c>
      <c r="D89" s="20">
        <f>Tabela431[[#This Row],[Kolumna3]]+Tabela43169[[#This Row],[Kolumna3]]+Tabela431101[[#This Row],[Kolumna3]]+Tabela431133[[#This Row],[Kolumna3]]+Tabela431165[[#This Row],[Kolumna3]]+Tabela431197[[#This Row],[Kolumna3]]+Tabela431229[[#This Row],[Kolumna3]]+Tabela431261[[#This Row],[Kolumna3]]+Tabela431293[[#This Row],[Kolumna3]]+Tabela431325[[#This Row],[Kolumna3]]+Tabela431370[[#This Row],[Kolumna3]]+Tabela431415[[#This Row],[Kolumna3]]</f>
        <v>0</v>
      </c>
      <c r="E89" s="20">
        <f t="shared" si="3"/>
        <v>0</v>
      </c>
      <c r="F89" s="21" t="str">
        <f t="shared" si="4"/>
        <v/>
      </c>
      <c r="G89" s="24"/>
      <c r="I89" s="25"/>
      <c r="J89" s="25"/>
    </row>
    <row r="90" spans="2:10" x14ac:dyDescent="0.2">
      <c r="B90" s="22" t="str">
        <f>'Wzorzec kategorii'!B52</f>
        <v>Ogrzewanie</v>
      </c>
      <c r="C90" s="47">
        <f>Tabela431[[#This Row],[Kolumna2]]+Tabela43169[[#This Row],[Kolumna2]]+Tabela431101[[#This Row],[Kolumna2]]+Tabela431133[[#This Row],[Kolumna2]]+Tabela431165[[#This Row],[Kolumna2]]+Tabela431197[[#This Row],[Kolumna2]]+Tabela431229[[#This Row],[Kolumna2]]+Tabela431261[[#This Row],[Kolumna2]]+Tabela431293[[#This Row],[Kolumna2]]+Tabela431325[[#This Row],[Kolumna2]]+Tabela431370[[#This Row],[Kolumna2]]+Tabela431415[[#This Row],[Kolumna2]]</f>
        <v>0</v>
      </c>
      <c r="D90" s="20">
        <f>Tabela431[[#This Row],[Kolumna3]]+Tabela43169[[#This Row],[Kolumna3]]+Tabela431101[[#This Row],[Kolumna3]]+Tabela431133[[#This Row],[Kolumna3]]+Tabela431165[[#This Row],[Kolumna3]]+Tabela431197[[#This Row],[Kolumna3]]+Tabela431229[[#This Row],[Kolumna3]]+Tabela431261[[#This Row],[Kolumna3]]+Tabela431293[[#This Row],[Kolumna3]]+Tabela431325[[#This Row],[Kolumna3]]+Tabela431370[[#This Row],[Kolumna3]]+Tabela431415[[#This Row],[Kolumna3]]</f>
        <v>0</v>
      </c>
      <c r="E90" s="20">
        <f t="shared" si="3"/>
        <v>0</v>
      </c>
      <c r="F90" s="21" t="str">
        <f t="shared" si="4"/>
        <v/>
      </c>
      <c r="G90" s="24"/>
      <c r="I90" s="25"/>
      <c r="J90" s="25"/>
    </row>
    <row r="91" spans="2:10" x14ac:dyDescent="0.2">
      <c r="B91" s="22" t="str">
        <f>'Wzorzec kategorii'!B53</f>
        <v>Wywóz śmieci</v>
      </c>
      <c r="C91" s="47">
        <f>Tabela431[[#This Row],[Kolumna2]]+Tabela43169[[#This Row],[Kolumna2]]+Tabela431101[[#This Row],[Kolumna2]]+Tabela431133[[#This Row],[Kolumna2]]+Tabela431165[[#This Row],[Kolumna2]]+Tabela431197[[#This Row],[Kolumna2]]+Tabela431229[[#This Row],[Kolumna2]]+Tabela431261[[#This Row],[Kolumna2]]+Tabela431293[[#This Row],[Kolumna2]]+Tabela431325[[#This Row],[Kolumna2]]+Tabela431370[[#This Row],[Kolumna2]]+Tabela431415[[#This Row],[Kolumna2]]</f>
        <v>0</v>
      </c>
      <c r="D91" s="20">
        <f>Tabela431[[#This Row],[Kolumna3]]+Tabela43169[[#This Row],[Kolumna3]]+Tabela431101[[#This Row],[Kolumna3]]+Tabela431133[[#This Row],[Kolumna3]]+Tabela431165[[#This Row],[Kolumna3]]+Tabela431197[[#This Row],[Kolumna3]]+Tabela431229[[#This Row],[Kolumna3]]+Tabela431261[[#This Row],[Kolumna3]]+Tabela431293[[#This Row],[Kolumna3]]+Tabela431325[[#This Row],[Kolumna3]]+Tabela431370[[#This Row],[Kolumna3]]+Tabela431415[[#This Row],[Kolumna3]]</f>
        <v>0</v>
      </c>
      <c r="E91" s="20">
        <f t="shared" si="3"/>
        <v>0</v>
      </c>
      <c r="F91" s="21" t="str">
        <f t="shared" si="4"/>
        <v/>
      </c>
      <c r="G91" s="24"/>
      <c r="I91" s="25"/>
      <c r="J91" s="25"/>
    </row>
    <row r="92" spans="2:10" x14ac:dyDescent="0.2">
      <c r="B92" s="22" t="str">
        <f>'Wzorzec kategorii'!B54</f>
        <v>Konserwacja i naprawy</v>
      </c>
      <c r="C92" s="47">
        <f>Tabela431[[#This Row],[Kolumna2]]+Tabela43169[[#This Row],[Kolumna2]]+Tabela431101[[#This Row],[Kolumna2]]+Tabela431133[[#This Row],[Kolumna2]]+Tabela431165[[#This Row],[Kolumna2]]+Tabela431197[[#This Row],[Kolumna2]]+Tabela431229[[#This Row],[Kolumna2]]+Tabela431261[[#This Row],[Kolumna2]]+Tabela431293[[#This Row],[Kolumna2]]+Tabela431325[[#This Row],[Kolumna2]]+Tabela431370[[#This Row],[Kolumna2]]+Tabela431415[[#This Row],[Kolumna2]]</f>
        <v>0</v>
      </c>
      <c r="D92" s="20">
        <f>Tabela431[[#This Row],[Kolumna3]]+Tabela43169[[#This Row],[Kolumna3]]+Tabela431101[[#This Row],[Kolumna3]]+Tabela431133[[#This Row],[Kolumna3]]+Tabela431165[[#This Row],[Kolumna3]]+Tabela431197[[#This Row],[Kolumna3]]+Tabela431229[[#This Row],[Kolumna3]]+Tabela431261[[#This Row],[Kolumna3]]+Tabela431293[[#This Row],[Kolumna3]]+Tabela431325[[#This Row],[Kolumna3]]+Tabela431370[[#This Row],[Kolumna3]]+Tabela431415[[#This Row],[Kolumna3]]</f>
        <v>0</v>
      </c>
      <c r="E92" s="20">
        <f t="shared" si="3"/>
        <v>0</v>
      </c>
      <c r="F92" s="21" t="str">
        <f t="shared" si="4"/>
        <v/>
      </c>
      <c r="G92" s="24"/>
      <c r="I92" s="25"/>
      <c r="J92" s="25"/>
    </row>
    <row r="93" spans="2:10" x14ac:dyDescent="0.2">
      <c r="B93" s="22" t="str">
        <f>'Wzorzec kategorii'!B55</f>
        <v>Wyposażenie</v>
      </c>
      <c r="C93" s="47">
        <f>Tabela431[[#This Row],[Kolumna2]]+Tabela43169[[#This Row],[Kolumna2]]+Tabela431101[[#This Row],[Kolumna2]]+Tabela431133[[#This Row],[Kolumna2]]+Tabela431165[[#This Row],[Kolumna2]]+Tabela431197[[#This Row],[Kolumna2]]+Tabela431229[[#This Row],[Kolumna2]]+Tabela431261[[#This Row],[Kolumna2]]+Tabela431293[[#This Row],[Kolumna2]]+Tabela431325[[#This Row],[Kolumna2]]+Tabela431370[[#This Row],[Kolumna2]]+Tabela431415[[#This Row],[Kolumna2]]</f>
        <v>0</v>
      </c>
      <c r="D93" s="20">
        <f>Tabela431[[#This Row],[Kolumna3]]+Tabela43169[[#This Row],[Kolumna3]]+Tabela431101[[#This Row],[Kolumna3]]+Tabela431133[[#This Row],[Kolumna3]]+Tabela431165[[#This Row],[Kolumna3]]+Tabela431197[[#This Row],[Kolumna3]]+Tabela431229[[#This Row],[Kolumna3]]+Tabela431261[[#This Row],[Kolumna3]]+Tabela431293[[#This Row],[Kolumna3]]+Tabela431325[[#This Row],[Kolumna3]]+Tabela431370[[#This Row],[Kolumna3]]+Tabela431415[[#This Row],[Kolumna3]]</f>
        <v>0</v>
      </c>
      <c r="E93" s="20">
        <f t="shared" si="3"/>
        <v>0</v>
      </c>
      <c r="F93" s="21" t="str">
        <f t="shared" si="4"/>
        <v/>
      </c>
      <c r="G93" s="24"/>
      <c r="I93" s="25"/>
      <c r="J93" s="25"/>
    </row>
    <row r="94" spans="2:10" x14ac:dyDescent="0.2">
      <c r="B94" s="22" t="str">
        <f>'Wzorzec kategorii'!B56</f>
        <v>Ubezpieczenie nieruchomości</v>
      </c>
      <c r="C94" s="47">
        <f>Tabela431[[#This Row],[Kolumna2]]+Tabela43169[[#This Row],[Kolumna2]]+Tabela431101[[#This Row],[Kolumna2]]+Tabela431133[[#This Row],[Kolumna2]]+Tabela431165[[#This Row],[Kolumna2]]+Tabela431197[[#This Row],[Kolumna2]]+Tabela431229[[#This Row],[Kolumna2]]+Tabela431261[[#This Row],[Kolumna2]]+Tabela431293[[#This Row],[Kolumna2]]+Tabela431325[[#This Row],[Kolumna2]]+Tabela431370[[#This Row],[Kolumna2]]+Tabela431415[[#This Row],[Kolumna2]]</f>
        <v>0</v>
      </c>
      <c r="D94" s="20">
        <f>Tabela431[[#This Row],[Kolumna3]]+Tabela43169[[#This Row],[Kolumna3]]+Tabela431101[[#This Row],[Kolumna3]]+Tabela431133[[#This Row],[Kolumna3]]+Tabela431165[[#This Row],[Kolumna3]]+Tabela431197[[#This Row],[Kolumna3]]+Tabela431229[[#This Row],[Kolumna3]]+Tabela431261[[#This Row],[Kolumna3]]+Tabela431293[[#This Row],[Kolumna3]]+Tabela431325[[#This Row],[Kolumna3]]+Tabela431370[[#This Row],[Kolumna3]]+Tabela431415[[#This Row],[Kolumna3]]</f>
        <v>0</v>
      </c>
      <c r="E94" s="20">
        <f t="shared" si="3"/>
        <v>0</v>
      </c>
      <c r="F94" s="21" t="str">
        <f t="shared" si="4"/>
        <v/>
      </c>
      <c r="G94" s="24"/>
      <c r="I94" s="25"/>
      <c r="J94" s="25"/>
    </row>
    <row r="95" spans="2:10" x14ac:dyDescent="0.2">
      <c r="B95" s="22" t="str">
        <f>'Wzorzec kategorii'!B57</f>
        <v>Inne</v>
      </c>
      <c r="C95" s="47">
        <f>Tabela431[[#This Row],[Kolumna2]]+Tabela43169[[#This Row],[Kolumna2]]+Tabela431101[[#This Row],[Kolumna2]]+Tabela431133[[#This Row],[Kolumna2]]+Tabela431165[[#This Row],[Kolumna2]]+Tabela431197[[#This Row],[Kolumna2]]+Tabela431229[[#This Row],[Kolumna2]]+Tabela431261[[#This Row],[Kolumna2]]+Tabela431293[[#This Row],[Kolumna2]]+Tabela431325[[#This Row],[Kolumna2]]+Tabela431370[[#This Row],[Kolumna2]]+Tabela431415[[#This Row],[Kolumna2]]</f>
        <v>0</v>
      </c>
      <c r="D95" s="20">
        <f>Tabela431[[#This Row],[Kolumna3]]+Tabela43169[[#This Row],[Kolumna3]]+Tabela431101[[#This Row],[Kolumna3]]+Tabela431133[[#This Row],[Kolumna3]]+Tabela431165[[#This Row],[Kolumna3]]+Tabela431197[[#This Row],[Kolumna3]]+Tabela431229[[#This Row],[Kolumna3]]+Tabela431261[[#This Row],[Kolumna3]]+Tabela431293[[#This Row],[Kolumna3]]+Tabela431325[[#This Row],[Kolumna3]]+Tabela431370[[#This Row],[Kolumna3]]+Tabela431415[[#This Row],[Kolumna3]]</f>
        <v>0</v>
      </c>
      <c r="E95" s="20">
        <f t="shared" si="3"/>
        <v>0</v>
      </c>
      <c r="F95" s="21" t="str">
        <f t="shared" si="4"/>
        <v/>
      </c>
      <c r="G95" s="24"/>
      <c r="I95" s="25"/>
      <c r="J95" s="25"/>
    </row>
    <row r="96" spans="2:10" x14ac:dyDescent="0.2">
      <c r="B96" s="5" t="s">
        <v>30</v>
      </c>
      <c r="C96" s="6"/>
      <c r="D96" s="4"/>
      <c r="E96" s="4"/>
      <c r="F96" s="4"/>
      <c r="G96" s="4"/>
      <c r="I96" s="25"/>
      <c r="J96" s="25"/>
    </row>
    <row r="97" spans="2:10" x14ac:dyDescent="0.2">
      <c r="B97" s="2" t="str">
        <f>'Wzorzec kategorii'!B59</f>
        <v>Transport</v>
      </c>
      <c r="C97" s="3">
        <f>SUM(Transport3444[[#All],[Kolumna2]])</f>
        <v>0</v>
      </c>
      <c r="D97" s="16">
        <f>SUM(Transport3444[[#All],[Kolumna3]])</f>
        <v>0</v>
      </c>
      <c r="E97" s="3">
        <f>C97-D97</f>
        <v>0</v>
      </c>
      <c r="F97" s="17" t="str">
        <f>IFERROR(D97/C97,"")</f>
        <v/>
      </c>
      <c r="G97" s="3"/>
      <c r="I97" s="25"/>
      <c r="J97" s="25"/>
    </row>
    <row r="98" spans="2:10" x14ac:dyDescent="0.2">
      <c r="B98" s="22" t="str">
        <f>'Wzorzec kategorii'!B60</f>
        <v>Paliwo do auta</v>
      </c>
      <c r="C98" s="47">
        <f>Transport3[[#This Row],[Kolumna2]]+Transport366[[#This Row],[Kolumna2]]+Transport398[[#This Row],[Kolumna2]]+Transport3130[[#This Row],[Kolumna2]]+Transport3162[[#This Row],[Kolumna2]]+Transport3194[[#This Row],[Kolumna2]]+Transport3226[[#This Row],[Kolumna2]]+Transport3258[[#This Row],[Kolumna2]]+Transport3290[[#This Row],[Kolumna2]]+Transport3322[[#This Row],[Kolumna2]]+Transport3367[[#This Row],[Kolumna2]]+Transport3412[[#This Row],[Kolumna2]]</f>
        <v>0</v>
      </c>
      <c r="D98" s="20">
        <f>Transport3[[#This Row],[Kolumna3]]+Transport366[[#This Row],[Kolumna3]]+Transport398[[#This Row],[Kolumna3]]+Transport3130[[#This Row],[Kolumna3]]+Transport3162[[#This Row],[Kolumna3]]+Transport3194[[#This Row],[Kolumna3]]+Transport3226[[#This Row],[Kolumna3]]+Transport3258[[#This Row],[Kolumna3]]+Transport3290[[#This Row],[Kolumna3]]+Transport3322[[#This Row],[Kolumna3]]+Transport3367[[#This Row],[Kolumna3]]+Transport3412[[#This Row],[Kolumna3]]</f>
        <v>0</v>
      </c>
      <c r="E98" s="20">
        <f t="shared" ref="E98:E107" si="5">C98-D98</f>
        <v>0</v>
      </c>
      <c r="F98" s="21" t="str">
        <f t="shared" ref="F98:F107" si="6">IFERROR(D98/C98,"")</f>
        <v/>
      </c>
      <c r="G98" s="24"/>
      <c r="I98" s="25"/>
      <c r="J98" s="25"/>
    </row>
    <row r="99" spans="2:10" x14ac:dyDescent="0.2">
      <c r="B99" s="22" t="str">
        <f>'Wzorzec kategorii'!B61</f>
        <v>Przeglądy i naprawy auta</v>
      </c>
      <c r="C99" s="47">
        <f>Transport3[[#This Row],[Kolumna2]]+Transport366[[#This Row],[Kolumna2]]+Transport398[[#This Row],[Kolumna2]]+Transport3130[[#This Row],[Kolumna2]]+Transport3162[[#This Row],[Kolumna2]]+Transport3194[[#This Row],[Kolumna2]]+Transport3226[[#This Row],[Kolumna2]]+Transport3258[[#This Row],[Kolumna2]]+Transport3290[[#This Row],[Kolumna2]]+Transport3322[[#This Row],[Kolumna2]]+Transport3367[[#This Row],[Kolumna2]]+Transport3412[[#This Row],[Kolumna2]]</f>
        <v>0</v>
      </c>
      <c r="D99" s="20">
        <f>Transport3[[#This Row],[Kolumna3]]+Transport366[[#This Row],[Kolumna3]]+Transport398[[#This Row],[Kolumna3]]+Transport3130[[#This Row],[Kolumna3]]+Transport3162[[#This Row],[Kolumna3]]+Transport3194[[#This Row],[Kolumna3]]+Transport3226[[#This Row],[Kolumna3]]+Transport3258[[#This Row],[Kolumna3]]+Transport3290[[#This Row],[Kolumna3]]+Transport3322[[#This Row],[Kolumna3]]+Transport3367[[#This Row],[Kolumna3]]+Transport3412[[#This Row],[Kolumna3]]</f>
        <v>0</v>
      </c>
      <c r="E99" s="20">
        <f t="shared" si="5"/>
        <v>0</v>
      </c>
      <c r="F99" s="21" t="str">
        <f t="shared" si="6"/>
        <v/>
      </c>
      <c r="G99" s="24"/>
      <c r="I99" s="25"/>
      <c r="J99" s="25"/>
    </row>
    <row r="100" spans="2:10" ht="30" x14ac:dyDescent="0.2">
      <c r="B100" s="22" t="str">
        <f>'Wzorzec kategorii'!B62</f>
        <v>Wyposażenie dodatkowe (opony)</v>
      </c>
      <c r="C100" s="47">
        <f>Transport3[[#This Row],[Kolumna2]]+Transport366[[#This Row],[Kolumna2]]+Transport398[[#This Row],[Kolumna2]]+Transport3130[[#This Row],[Kolumna2]]+Transport3162[[#This Row],[Kolumna2]]+Transport3194[[#This Row],[Kolumna2]]+Transport3226[[#This Row],[Kolumna2]]+Transport3258[[#This Row],[Kolumna2]]+Transport3290[[#This Row],[Kolumna2]]+Transport3322[[#This Row],[Kolumna2]]+Transport3367[[#This Row],[Kolumna2]]+Transport3412[[#This Row],[Kolumna2]]</f>
        <v>0</v>
      </c>
      <c r="D100" s="20">
        <f>Transport3[[#This Row],[Kolumna3]]+Transport366[[#This Row],[Kolumna3]]+Transport398[[#This Row],[Kolumna3]]+Transport3130[[#This Row],[Kolumna3]]+Transport3162[[#This Row],[Kolumna3]]+Transport3194[[#This Row],[Kolumna3]]+Transport3226[[#This Row],[Kolumna3]]+Transport3258[[#This Row],[Kolumna3]]+Transport3290[[#This Row],[Kolumna3]]+Transport3322[[#This Row],[Kolumna3]]+Transport3367[[#This Row],[Kolumna3]]+Transport3412[[#This Row],[Kolumna3]]</f>
        <v>0</v>
      </c>
      <c r="E100" s="20">
        <f t="shared" si="5"/>
        <v>0</v>
      </c>
      <c r="F100" s="21" t="str">
        <f t="shared" si="6"/>
        <v/>
      </c>
      <c r="G100" s="24"/>
      <c r="I100" s="25"/>
      <c r="J100" s="25"/>
    </row>
    <row r="101" spans="2:10" x14ac:dyDescent="0.2">
      <c r="B101" s="22" t="str">
        <f>'Wzorzec kategorii'!B63</f>
        <v>Ubezpieczenie auta</v>
      </c>
      <c r="C101" s="47">
        <f>Transport3[[#This Row],[Kolumna2]]+Transport366[[#This Row],[Kolumna2]]+Transport398[[#This Row],[Kolumna2]]+Transport3130[[#This Row],[Kolumna2]]+Transport3162[[#This Row],[Kolumna2]]+Transport3194[[#This Row],[Kolumna2]]+Transport3226[[#This Row],[Kolumna2]]+Transport3258[[#This Row],[Kolumna2]]+Transport3290[[#This Row],[Kolumna2]]+Transport3322[[#This Row],[Kolumna2]]+Transport3367[[#This Row],[Kolumna2]]+Transport3412[[#This Row],[Kolumna2]]</f>
        <v>0</v>
      </c>
      <c r="D101" s="20">
        <f>Transport3[[#This Row],[Kolumna3]]+Transport366[[#This Row],[Kolumna3]]+Transport398[[#This Row],[Kolumna3]]+Transport3130[[#This Row],[Kolumna3]]+Transport3162[[#This Row],[Kolumna3]]+Transport3194[[#This Row],[Kolumna3]]+Transport3226[[#This Row],[Kolumna3]]+Transport3258[[#This Row],[Kolumna3]]+Transport3290[[#This Row],[Kolumna3]]+Transport3322[[#This Row],[Kolumna3]]+Transport3367[[#This Row],[Kolumna3]]+Transport3412[[#This Row],[Kolumna3]]</f>
        <v>0</v>
      </c>
      <c r="E101" s="20">
        <f t="shared" si="5"/>
        <v>0</v>
      </c>
      <c r="F101" s="21" t="str">
        <f t="shared" si="6"/>
        <v/>
      </c>
      <c r="G101" s="24"/>
      <c r="I101" s="25"/>
      <c r="J101" s="25"/>
    </row>
    <row r="102" spans="2:10" x14ac:dyDescent="0.2">
      <c r="B102" s="22" t="str">
        <f>'Wzorzec kategorii'!B64</f>
        <v>Bilet komunikacji miejskiej</v>
      </c>
      <c r="C102" s="47">
        <f>Transport3[[#This Row],[Kolumna2]]+Transport366[[#This Row],[Kolumna2]]+Transport398[[#This Row],[Kolumna2]]+Transport3130[[#This Row],[Kolumna2]]+Transport3162[[#This Row],[Kolumna2]]+Transport3194[[#This Row],[Kolumna2]]+Transport3226[[#This Row],[Kolumna2]]+Transport3258[[#This Row],[Kolumna2]]+Transport3290[[#This Row],[Kolumna2]]+Transport3322[[#This Row],[Kolumna2]]+Transport3367[[#This Row],[Kolumna2]]+Transport3412[[#This Row],[Kolumna2]]</f>
        <v>0</v>
      </c>
      <c r="D102" s="20">
        <f>Transport3[[#This Row],[Kolumna3]]+Transport366[[#This Row],[Kolumna3]]+Transport398[[#This Row],[Kolumna3]]+Transport3130[[#This Row],[Kolumna3]]+Transport3162[[#This Row],[Kolumna3]]+Transport3194[[#This Row],[Kolumna3]]+Transport3226[[#This Row],[Kolumna3]]+Transport3258[[#This Row],[Kolumna3]]+Transport3290[[#This Row],[Kolumna3]]+Transport3322[[#This Row],[Kolumna3]]+Transport3367[[#This Row],[Kolumna3]]+Transport3412[[#This Row],[Kolumna3]]</f>
        <v>0</v>
      </c>
      <c r="E102" s="20">
        <f t="shared" si="5"/>
        <v>0</v>
      </c>
      <c r="F102" s="21" t="str">
        <f t="shared" si="6"/>
        <v/>
      </c>
      <c r="G102" s="24"/>
      <c r="I102" s="25"/>
      <c r="J102" s="25"/>
    </row>
    <row r="103" spans="2:10" x14ac:dyDescent="0.2">
      <c r="B103" s="22" t="str">
        <f>'Wzorzec kategorii'!B65</f>
        <v>Bilet PKP, PKS</v>
      </c>
      <c r="C103" s="47">
        <f>Transport3[[#This Row],[Kolumna2]]+Transport366[[#This Row],[Kolumna2]]+Transport398[[#This Row],[Kolumna2]]+Transport3130[[#This Row],[Kolumna2]]+Transport3162[[#This Row],[Kolumna2]]+Transport3194[[#This Row],[Kolumna2]]+Transport3226[[#This Row],[Kolumna2]]+Transport3258[[#This Row],[Kolumna2]]+Transport3290[[#This Row],[Kolumna2]]+Transport3322[[#This Row],[Kolumna2]]+Transport3367[[#This Row],[Kolumna2]]+Transport3412[[#This Row],[Kolumna2]]</f>
        <v>0</v>
      </c>
      <c r="D103" s="20">
        <f>Transport3[[#This Row],[Kolumna3]]+Transport366[[#This Row],[Kolumna3]]+Transport398[[#This Row],[Kolumna3]]+Transport3130[[#This Row],[Kolumna3]]+Transport3162[[#This Row],[Kolumna3]]+Transport3194[[#This Row],[Kolumna3]]+Transport3226[[#This Row],[Kolumna3]]+Transport3258[[#This Row],[Kolumna3]]+Transport3290[[#This Row],[Kolumna3]]+Transport3322[[#This Row],[Kolumna3]]+Transport3367[[#This Row],[Kolumna3]]+Transport3412[[#This Row],[Kolumna3]]</f>
        <v>0</v>
      </c>
      <c r="E103" s="20">
        <f t="shared" si="5"/>
        <v>0</v>
      </c>
      <c r="F103" s="21" t="str">
        <f t="shared" si="6"/>
        <v/>
      </c>
      <c r="G103" s="24"/>
      <c r="I103" s="25"/>
      <c r="J103" s="25"/>
    </row>
    <row r="104" spans="2:10" x14ac:dyDescent="0.2">
      <c r="B104" s="22" t="str">
        <f>'Wzorzec kategorii'!B66</f>
        <v>Taxi</v>
      </c>
      <c r="C104" s="47">
        <f>Transport3[[#This Row],[Kolumna2]]+Transport366[[#This Row],[Kolumna2]]+Transport398[[#This Row],[Kolumna2]]+Transport3130[[#This Row],[Kolumna2]]+Transport3162[[#This Row],[Kolumna2]]+Transport3194[[#This Row],[Kolumna2]]+Transport3226[[#This Row],[Kolumna2]]+Transport3258[[#This Row],[Kolumna2]]+Transport3290[[#This Row],[Kolumna2]]+Transport3322[[#This Row],[Kolumna2]]+Transport3367[[#This Row],[Kolumna2]]+Transport3412[[#This Row],[Kolumna2]]</f>
        <v>0</v>
      </c>
      <c r="D104" s="20">
        <f>Transport3[[#This Row],[Kolumna3]]+Transport366[[#This Row],[Kolumna3]]+Transport398[[#This Row],[Kolumna3]]+Transport3130[[#This Row],[Kolumna3]]+Transport3162[[#This Row],[Kolumna3]]+Transport3194[[#This Row],[Kolumna3]]+Transport3226[[#This Row],[Kolumna3]]+Transport3258[[#This Row],[Kolumna3]]+Transport3290[[#This Row],[Kolumna3]]+Transport3322[[#This Row],[Kolumna3]]+Transport3367[[#This Row],[Kolumna3]]+Transport3412[[#This Row],[Kolumna3]]</f>
        <v>0</v>
      </c>
      <c r="E104" s="20">
        <f t="shared" si="5"/>
        <v>0</v>
      </c>
      <c r="F104" s="21" t="str">
        <f t="shared" si="6"/>
        <v/>
      </c>
      <c r="G104" s="24"/>
      <c r="I104" s="25"/>
      <c r="J104" s="25"/>
    </row>
    <row r="105" spans="2:10" x14ac:dyDescent="0.2">
      <c r="B105" s="22" t="str">
        <f>'Wzorzec kategorii'!B67</f>
        <v>Inne</v>
      </c>
      <c r="C105" s="47">
        <f>Transport3[[#This Row],[Kolumna2]]+Transport366[[#This Row],[Kolumna2]]+Transport398[[#This Row],[Kolumna2]]+Transport3130[[#This Row],[Kolumna2]]+Transport3162[[#This Row],[Kolumna2]]+Transport3194[[#This Row],[Kolumna2]]+Transport3226[[#This Row],[Kolumna2]]+Transport3258[[#This Row],[Kolumna2]]+Transport3290[[#This Row],[Kolumna2]]+Transport3322[[#This Row],[Kolumna2]]+Transport3367[[#This Row],[Kolumna2]]+Transport3412[[#This Row],[Kolumna2]]</f>
        <v>0</v>
      </c>
      <c r="D105" s="20">
        <f>Transport3[[#This Row],[Kolumna3]]+Transport366[[#This Row],[Kolumna3]]+Transport398[[#This Row],[Kolumna3]]+Transport3130[[#This Row],[Kolumna3]]+Transport3162[[#This Row],[Kolumna3]]+Transport3194[[#This Row],[Kolumna3]]+Transport3226[[#This Row],[Kolumna3]]+Transport3258[[#This Row],[Kolumna3]]+Transport3290[[#This Row],[Kolumna3]]+Transport3322[[#This Row],[Kolumna3]]+Transport3367[[#This Row],[Kolumna3]]+Transport3412[[#This Row],[Kolumna3]]</f>
        <v>0</v>
      </c>
      <c r="E105" s="20">
        <f t="shared" si="5"/>
        <v>0</v>
      </c>
      <c r="F105" s="21" t="str">
        <f t="shared" si="6"/>
        <v/>
      </c>
      <c r="G105" s="24"/>
      <c r="I105" s="25"/>
      <c r="J105" s="25"/>
    </row>
    <row r="106" spans="2:10" x14ac:dyDescent="0.2">
      <c r="B106" s="22" t="str">
        <f>'Wzorzec kategorii'!B68</f>
        <v>.</v>
      </c>
      <c r="C106" s="47">
        <f>Transport3[[#This Row],[Kolumna2]]+Transport366[[#This Row],[Kolumna2]]+Transport398[[#This Row],[Kolumna2]]+Transport3130[[#This Row],[Kolumna2]]+Transport3162[[#This Row],[Kolumna2]]+Transport3194[[#This Row],[Kolumna2]]+Transport3226[[#This Row],[Kolumna2]]+Transport3258[[#This Row],[Kolumna2]]+Transport3290[[#This Row],[Kolumna2]]+Transport3322[[#This Row],[Kolumna2]]+Transport3367[[#This Row],[Kolumna2]]+Transport3412[[#This Row],[Kolumna2]]</f>
        <v>0</v>
      </c>
      <c r="D106" s="20">
        <f>Transport3[[#This Row],[Kolumna3]]+Transport366[[#This Row],[Kolumna3]]+Transport398[[#This Row],[Kolumna3]]+Transport3130[[#This Row],[Kolumna3]]+Transport3162[[#This Row],[Kolumna3]]+Transport3194[[#This Row],[Kolumna3]]+Transport3226[[#This Row],[Kolumna3]]+Transport3258[[#This Row],[Kolumna3]]+Transport3290[[#This Row],[Kolumna3]]+Transport3322[[#This Row],[Kolumna3]]+Transport3367[[#This Row],[Kolumna3]]+Transport3412[[#This Row],[Kolumna3]]</f>
        <v>0</v>
      </c>
      <c r="E106" s="20">
        <f t="shared" si="5"/>
        <v>0</v>
      </c>
      <c r="F106" s="53" t="str">
        <f t="shared" si="6"/>
        <v/>
      </c>
      <c r="G106" s="54"/>
      <c r="I106" s="25"/>
      <c r="J106" s="25"/>
    </row>
    <row r="107" spans="2:10" x14ac:dyDescent="0.2">
      <c r="B107" s="22" t="str">
        <f>'Wzorzec kategorii'!B69</f>
        <v>.</v>
      </c>
      <c r="C107" s="47">
        <f>Transport3[[#This Row],[Kolumna2]]+Transport366[[#This Row],[Kolumna2]]+Transport398[[#This Row],[Kolumna2]]+Transport3130[[#This Row],[Kolumna2]]+Transport3162[[#This Row],[Kolumna2]]+Transport3194[[#This Row],[Kolumna2]]+Transport3226[[#This Row],[Kolumna2]]+Transport3258[[#This Row],[Kolumna2]]+Transport3290[[#This Row],[Kolumna2]]+Transport3322[[#This Row],[Kolumna2]]+Transport3367[[#This Row],[Kolumna2]]+Transport3412[[#This Row],[Kolumna2]]</f>
        <v>0</v>
      </c>
      <c r="D107" s="20">
        <f>Transport3[[#This Row],[Kolumna3]]+Transport366[[#This Row],[Kolumna3]]+Transport398[[#This Row],[Kolumna3]]+Transport3130[[#This Row],[Kolumna3]]+Transport3162[[#This Row],[Kolumna3]]+Transport3194[[#This Row],[Kolumna3]]+Transport3226[[#This Row],[Kolumna3]]+Transport3258[[#This Row],[Kolumna3]]+Transport3290[[#This Row],[Kolumna3]]+Transport3322[[#This Row],[Kolumna3]]+Transport3367[[#This Row],[Kolumna3]]+Transport3412[[#This Row],[Kolumna3]]</f>
        <v>0</v>
      </c>
      <c r="E107" s="20">
        <f t="shared" si="5"/>
        <v>0</v>
      </c>
      <c r="F107" s="53" t="str">
        <f t="shared" si="6"/>
        <v/>
      </c>
      <c r="G107" s="54"/>
      <c r="I107" s="25"/>
      <c r="J107" s="25"/>
    </row>
    <row r="108" spans="2:10" x14ac:dyDescent="0.2">
      <c r="B108" s="5" t="s">
        <v>30</v>
      </c>
      <c r="C108" s="25"/>
      <c r="I108" s="25"/>
      <c r="J108" s="25"/>
    </row>
    <row r="109" spans="2:10" x14ac:dyDescent="0.2">
      <c r="B109" s="2" t="str">
        <f>'Wzorzec kategorii'!B71</f>
        <v>Telekomunikacja</v>
      </c>
      <c r="C109" s="3">
        <f>SUM(Tabela832448[[#All],[Kolumna2]])</f>
        <v>0</v>
      </c>
      <c r="D109" s="16">
        <f>SUM(Tabela832448[[#All],[Kolumna3]])</f>
        <v>0</v>
      </c>
      <c r="E109" s="3">
        <f>C109-D109</f>
        <v>0</v>
      </c>
      <c r="F109" s="17" t="str">
        <f t="shared" ref="F109:F119" si="7">IFERROR(D109/C109,"")</f>
        <v/>
      </c>
      <c r="G109" s="3"/>
      <c r="I109" s="25"/>
      <c r="J109" s="25"/>
    </row>
    <row r="110" spans="2:10" x14ac:dyDescent="0.2">
      <c r="B110" s="22" t="str">
        <f>'Wzorzec kategorii'!B72</f>
        <v>Telefon 1</v>
      </c>
      <c r="C110" s="47">
        <f>Tabela832[[#This Row],[Kolumna2]]+Tabela83270[[#This Row],[Kolumna2]]+Tabela832102[[#This Row],[Kolumna2]]+Tabela832134[[#This Row],[Kolumna2]]+Tabela832166[[#This Row],[Kolumna2]]+Tabela832198[[#This Row],[Kolumna2]]+Tabela832230[[#This Row],[Kolumna2]]+Tabela832262[[#This Row],[Kolumna2]]+Tabela832294[[#This Row],[Kolumna2]]+Tabela832326[[#This Row],[Kolumna2]]+Tabela832371[[#This Row],[Kolumna2]]+Tabela832416[[#This Row],[Kolumna2]]</f>
        <v>0</v>
      </c>
      <c r="D110" s="20">
        <f>Tabela832[[#This Row],[Kolumna3]]+Tabela83270[[#This Row],[Kolumna3]]+Tabela832102[[#This Row],[Kolumna3]]+Tabela832134[[#This Row],[Kolumna3]]+Tabela832166[[#This Row],[Kolumna3]]+Tabela832198[[#This Row],[Kolumna3]]+Tabela832230[[#This Row],[Kolumna3]]+Tabela832262[[#This Row],[Kolumna3]]+Tabela832294[[#This Row],[Kolumna3]]+Tabela832326[[#This Row],[Kolumna3]]+Tabela832371[[#This Row],[Kolumna3]]+Tabela832416[[#This Row],[Kolumna3]]</f>
        <v>0</v>
      </c>
      <c r="E110" s="20">
        <f t="shared" ref="E110:E119" si="8">C110-D110</f>
        <v>0</v>
      </c>
      <c r="F110" s="21" t="str">
        <f t="shared" si="7"/>
        <v/>
      </c>
      <c r="G110" s="24"/>
      <c r="I110" s="25"/>
      <c r="J110" s="25"/>
    </row>
    <row r="111" spans="2:10" x14ac:dyDescent="0.2">
      <c r="B111" s="22" t="str">
        <f>'Wzorzec kategorii'!B73</f>
        <v>Telefon 2</v>
      </c>
      <c r="C111" s="47">
        <f>Tabela832[[#This Row],[Kolumna2]]+Tabela83270[[#This Row],[Kolumna2]]+Tabela832102[[#This Row],[Kolumna2]]+Tabela832134[[#This Row],[Kolumna2]]+Tabela832166[[#This Row],[Kolumna2]]+Tabela832198[[#This Row],[Kolumna2]]+Tabela832230[[#This Row],[Kolumna2]]+Tabela832262[[#This Row],[Kolumna2]]+Tabela832294[[#This Row],[Kolumna2]]+Tabela832326[[#This Row],[Kolumna2]]+Tabela832371[[#This Row],[Kolumna2]]+Tabela832416[[#This Row],[Kolumna2]]</f>
        <v>0</v>
      </c>
      <c r="D111" s="20">
        <f>Tabela832[[#This Row],[Kolumna3]]+Tabela83270[[#This Row],[Kolumna3]]+Tabela832102[[#This Row],[Kolumna3]]+Tabela832134[[#This Row],[Kolumna3]]+Tabela832166[[#This Row],[Kolumna3]]+Tabela832198[[#This Row],[Kolumna3]]+Tabela832230[[#This Row],[Kolumna3]]+Tabela832262[[#This Row],[Kolumna3]]+Tabela832294[[#This Row],[Kolumna3]]+Tabela832326[[#This Row],[Kolumna3]]+Tabela832371[[#This Row],[Kolumna3]]+Tabela832416[[#This Row],[Kolumna3]]</f>
        <v>0</v>
      </c>
      <c r="E111" s="20">
        <f t="shared" si="8"/>
        <v>0</v>
      </c>
      <c r="F111" s="21" t="str">
        <f t="shared" si="7"/>
        <v/>
      </c>
      <c r="G111" s="24"/>
      <c r="I111" s="25"/>
      <c r="J111" s="25"/>
    </row>
    <row r="112" spans="2:10" x14ac:dyDescent="0.2">
      <c r="B112" s="22" t="str">
        <f>'Wzorzec kategorii'!B74</f>
        <v>TV</v>
      </c>
      <c r="C112" s="47">
        <f>Tabela832[[#This Row],[Kolumna2]]+Tabela83270[[#This Row],[Kolumna2]]+Tabela832102[[#This Row],[Kolumna2]]+Tabela832134[[#This Row],[Kolumna2]]+Tabela832166[[#This Row],[Kolumna2]]+Tabela832198[[#This Row],[Kolumna2]]+Tabela832230[[#This Row],[Kolumna2]]+Tabela832262[[#This Row],[Kolumna2]]+Tabela832294[[#This Row],[Kolumna2]]+Tabela832326[[#This Row],[Kolumna2]]+Tabela832371[[#This Row],[Kolumna2]]+Tabela832416[[#This Row],[Kolumna2]]</f>
        <v>0</v>
      </c>
      <c r="D112" s="20">
        <f>Tabela832[[#This Row],[Kolumna3]]+Tabela83270[[#This Row],[Kolumna3]]+Tabela832102[[#This Row],[Kolumna3]]+Tabela832134[[#This Row],[Kolumna3]]+Tabela832166[[#This Row],[Kolumna3]]+Tabela832198[[#This Row],[Kolumna3]]+Tabela832230[[#This Row],[Kolumna3]]+Tabela832262[[#This Row],[Kolumna3]]+Tabela832294[[#This Row],[Kolumna3]]+Tabela832326[[#This Row],[Kolumna3]]+Tabela832371[[#This Row],[Kolumna3]]+Tabela832416[[#This Row],[Kolumna3]]</f>
        <v>0</v>
      </c>
      <c r="E112" s="20">
        <f t="shared" si="8"/>
        <v>0</v>
      </c>
      <c r="F112" s="21" t="str">
        <f t="shared" si="7"/>
        <v/>
      </c>
      <c r="G112" s="24"/>
      <c r="I112" s="25"/>
      <c r="J112" s="25"/>
    </row>
    <row r="113" spans="2:10" x14ac:dyDescent="0.2">
      <c r="B113" s="22" t="str">
        <f>'Wzorzec kategorii'!B75</f>
        <v>Internet</v>
      </c>
      <c r="C113" s="47">
        <f>Tabela832[[#This Row],[Kolumna2]]+Tabela83270[[#This Row],[Kolumna2]]+Tabela832102[[#This Row],[Kolumna2]]+Tabela832134[[#This Row],[Kolumna2]]+Tabela832166[[#This Row],[Kolumna2]]+Tabela832198[[#This Row],[Kolumna2]]+Tabela832230[[#This Row],[Kolumna2]]+Tabela832262[[#This Row],[Kolumna2]]+Tabela832294[[#This Row],[Kolumna2]]+Tabela832326[[#This Row],[Kolumna2]]+Tabela832371[[#This Row],[Kolumna2]]+Tabela832416[[#This Row],[Kolumna2]]</f>
        <v>0</v>
      </c>
      <c r="D113" s="20">
        <f>Tabela832[[#This Row],[Kolumna3]]+Tabela83270[[#This Row],[Kolumna3]]+Tabela832102[[#This Row],[Kolumna3]]+Tabela832134[[#This Row],[Kolumna3]]+Tabela832166[[#This Row],[Kolumna3]]+Tabela832198[[#This Row],[Kolumna3]]+Tabela832230[[#This Row],[Kolumna3]]+Tabela832262[[#This Row],[Kolumna3]]+Tabela832294[[#This Row],[Kolumna3]]+Tabela832326[[#This Row],[Kolumna3]]+Tabela832371[[#This Row],[Kolumna3]]+Tabela832416[[#This Row],[Kolumna3]]</f>
        <v>0</v>
      </c>
      <c r="E113" s="20">
        <f t="shared" si="8"/>
        <v>0</v>
      </c>
      <c r="F113" s="21" t="str">
        <f t="shared" si="7"/>
        <v/>
      </c>
      <c r="G113" s="24"/>
      <c r="I113" s="25"/>
      <c r="J113" s="25"/>
    </row>
    <row r="114" spans="2:10" x14ac:dyDescent="0.2">
      <c r="B114" s="22" t="str">
        <f>'Wzorzec kategorii'!B76</f>
        <v>Inne</v>
      </c>
      <c r="C114" s="47">
        <f>Tabela832[[#This Row],[Kolumna2]]+Tabela83270[[#This Row],[Kolumna2]]+Tabela832102[[#This Row],[Kolumna2]]+Tabela832134[[#This Row],[Kolumna2]]+Tabela832166[[#This Row],[Kolumna2]]+Tabela832198[[#This Row],[Kolumna2]]+Tabela832230[[#This Row],[Kolumna2]]+Tabela832262[[#This Row],[Kolumna2]]+Tabela832294[[#This Row],[Kolumna2]]+Tabela832326[[#This Row],[Kolumna2]]+Tabela832371[[#This Row],[Kolumna2]]+Tabela832416[[#This Row],[Kolumna2]]</f>
        <v>0</v>
      </c>
      <c r="D114" s="20">
        <f>Tabela832[[#This Row],[Kolumna3]]+Tabela83270[[#This Row],[Kolumna3]]+Tabela832102[[#This Row],[Kolumna3]]+Tabela832134[[#This Row],[Kolumna3]]+Tabela832166[[#This Row],[Kolumna3]]+Tabela832198[[#This Row],[Kolumna3]]+Tabela832230[[#This Row],[Kolumna3]]+Tabela832262[[#This Row],[Kolumna3]]+Tabela832294[[#This Row],[Kolumna3]]+Tabela832326[[#This Row],[Kolumna3]]+Tabela832371[[#This Row],[Kolumna3]]+Tabela832416[[#This Row],[Kolumna3]]</f>
        <v>0</v>
      </c>
      <c r="E114" s="20">
        <f t="shared" si="8"/>
        <v>0</v>
      </c>
      <c r="F114" s="21" t="str">
        <f t="shared" si="7"/>
        <v/>
      </c>
      <c r="G114" s="24"/>
      <c r="I114" s="25"/>
      <c r="J114" s="25"/>
    </row>
    <row r="115" spans="2:10" x14ac:dyDescent="0.2">
      <c r="B115" s="22" t="str">
        <f>'Wzorzec kategorii'!B77</f>
        <v>.</v>
      </c>
      <c r="C115" s="47">
        <f>Tabela832[[#This Row],[Kolumna2]]+Tabela83270[[#This Row],[Kolumna2]]+Tabela832102[[#This Row],[Kolumna2]]+Tabela832134[[#This Row],[Kolumna2]]+Tabela832166[[#This Row],[Kolumna2]]+Tabela832198[[#This Row],[Kolumna2]]+Tabela832230[[#This Row],[Kolumna2]]+Tabela832262[[#This Row],[Kolumna2]]+Tabela832294[[#This Row],[Kolumna2]]+Tabela832326[[#This Row],[Kolumna2]]+Tabela832371[[#This Row],[Kolumna2]]+Tabela832416[[#This Row],[Kolumna2]]</f>
        <v>0</v>
      </c>
      <c r="D115" s="20">
        <f>Tabela832[[#This Row],[Kolumna3]]+Tabela83270[[#This Row],[Kolumna3]]+Tabela832102[[#This Row],[Kolumna3]]+Tabela832134[[#This Row],[Kolumna3]]+Tabela832166[[#This Row],[Kolumna3]]+Tabela832198[[#This Row],[Kolumna3]]+Tabela832230[[#This Row],[Kolumna3]]+Tabela832262[[#This Row],[Kolumna3]]+Tabela832294[[#This Row],[Kolumna3]]+Tabela832326[[#This Row],[Kolumna3]]+Tabela832371[[#This Row],[Kolumna3]]+Tabela832416[[#This Row],[Kolumna3]]</f>
        <v>0</v>
      </c>
      <c r="E115" s="20">
        <f t="shared" si="8"/>
        <v>0</v>
      </c>
      <c r="F115" s="53" t="str">
        <f t="shared" si="7"/>
        <v/>
      </c>
      <c r="G115" s="54"/>
      <c r="I115" s="25"/>
      <c r="J115" s="25"/>
    </row>
    <row r="116" spans="2:10" x14ac:dyDescent="0.2">
      <c r="B116" s="22" t="str">
        <f>'Wzorzec kategorii'!B78</f>
        <v>.</v>
      </c>
      <c r="C116" s="47">
        <f>Tabela832[[#This Row],[Kolumna2]]+Tabela83270[[#This Row],[Kolumna2]]+Tabela832102[[#This Row],[Kolumna2]]+Tabela832134[[#This Row],[Kolumna2]]+Tabela832166[[#This Row],[Kolumna2]]+Tabela832198[[#This Row],[Kolumna2]]+Tabela832230[[#This Row],[Kolumna2]]+Tabela832262[[#This Row],[Kolumna2]]+Tabela832294[[#This Row],[Kolumna2]]+Tabela832326[[#This Row],[Kolumna2]]+Tabela832371[[#This Row],[Kolumna2]]+Tabela832416[[#This Row],[Kolumna2]]</f>
        <v>0</v>
      </c>
      <c r="D116" s="20">
        <f>Tabela832[[#This Row],[Kolumna3]]+Tabela83270[[#This Row],[Kolumna3]]+Tabela832102[[#This Row],[Kolumna3]]+Tabela832134[[#This Row],[Kolumna3]]+Tabela832166[[#This Row],[Kolumna3]]+Tabela832198[[#This Row],[Kolumna3]]+Tabela832230[[#This Row],[Kolumna3]]+Tabela832262[[#This Row],[Kolumna3]]+Tabela832294[[#This Row],[Kolumna3]]+Tabela832326[[#This Row],[Kolumna3]]+Tabela832371[[#This Row],[Kolumna3]]+Tabela832416[[#This Row],[Kolumna3]]</f>
        <v>0</v>
      </c>
      <c r="E116" s="20">
        <f t="shared" si="8"/>
        <v>0</v>
      </c>
      <c r="F116" s="53" t="str">
        <f t="shared" si="7"/>
        <v/>
      </c>
      <c r="G116" s="54"/>
      <c r="I116" s="25"/>
      <c r="J116" s="25"/>
    </row>
    <row r="117" spans="2:10" x14ac:dyDescent="0.2">
      <c r="B117" s="22" t="str">
        <f>'Wzorzec kategorii'!B79</f>
        <v>.</v>
      </c>
      <c r="C117" s="47">
        <f>Tabela832[[#This Row],[Kolumna2]]+Tabela83270[[#This Row],[Kolumna2]]+Tabela832102[[#This Row],[Kolumna2]]+Tabela832134[[#This Row],[Kolumna2]]+Tabela832166[[#This Row],[Kolumna2]]+Tabela832198[[#This Row],[Kolumna2]]+Tabela832230[[#This Row],[Kolumna2]]+Tabela832262[[#This Row],[Kolumna2]]+Tabela832294[[#This Row],[Kolumna2]]+Tabela832326[[#This Row],[Kolumna2]]+Tabela832371[[#This Row],[Kolumna2]]+Tabela832416[[#This Row],[Kolumna2]]</f>
        <v>0</v>
      </c>
      <c r="D117" s="20">
        <f>Tabela832[[#This Row],[Kolumna3]]+Tabela83270[[#This Row],[Kolumna3]]+Tabela832102[[#This Row],[Kolumna3]]+Tabela832134[[#This Row],[Kolumna3]]+Tabela832166[[#This Row],[Kolumna3]]+Tabela832198[[#This Row],[Kolumna3]]+Tabela832230[[#This Row],[Kolumna3]]+Tabela832262[[#This Row],[Kolumna3]]+Tabela832294[[#This Row],[Kolumna3]]+Tabela832326[[#This Row],[Kolumna3]]+Tabela832371[[#This Row],[Kolumna3]]+Tabela832416[[#This Row],[Kolumna3]]</f>
        <v>0</v>
      </c>
      <c r="E117" s="20">
        <f t="shared" si="8"/>
        <v>0</v>
      </c>
      <c r="F117" s="53" t="str">
        <f t="shared" si="7"/>
        <v/>
      </c>
      <c r="G117" s="54"/>
      <c r="I117" s="25"/>
      <c r="J117" s="25"/>
    </row>
    <row r="118" spans="2:10" x14ac:dyDescent="0.2">
      <c r="B118" s="22" t="str">
        <f>'Wzorzec kategorii'!B80</f>
        <v>.</v>
      </c>
      <c r="C118" s="47">
        <f>Tabela832[[#This Row],[Kolumna2]]+Tabela83270[[#This Row],[Kolumna2]]+Tabela832102[[#This Row],[Kolumna2]]+Tabela832134[[#This Row],[Kolumna2]]+Tabela832166[[#This Row],[Kolumna2]]+Tabela832198[[#This Row],[Kolumna2]]+Tabela832230[[#This Row],[Kolumna2]]+Tabela832262[[#This Row],[Kolumna2]]+Tabela832294[[#This Row],[Kolumna2]]+Tabela832326[[#This Row],[Kolumna2]]+Tabela832371[[#This Row],[Kolumna2]]+Tabela832416[[#This Row],[Kolumna2]]</f>
        <v>0</v>
      </c>
      <c r="D118" s="20">
        <f>Tabela832[[#This Row],[Kolumna3]]+Tabela83270[[#This Row],[Kolumna3]]+Tabela832102[[#This Row],[Kolumna3]]+Tabela832134[[#This Row],[Kolumna3]]+Tabela832166[[#This Row],[Kolumna3]]+Tabela832198[[#This Row],[Kolumna3]]+Tabela832230[[#This Row],[Kolumna3]]+Tabela832262[[#This Row],[Kolumna3]]+Tabela832294[[#This Row],[Kolumna3]]+Tabela832326[[#This Row],[Kolumna3]]+Tabela832371[[#This Row],[Kolumna3]]+Tabela832416[[#This Row],[Kolumna3]]</f>
        <v>0</v>
      </c>
      <c r="E118" s="20">
        <f t="shared" si="8"/>
        <v>0</v>
      </c>
      <c r="F118" s="53" t="str">
        <f t="shared" si="7"/>
        <v/>
      </c>
      <c r="G118" s="54"/>
      <c r="I118" s="25"/>
      <c r="J118" s="25"/>
    </row>
    <row r="119" spans="2:10" x14ac:dyDescent="0.2">
      <c r="B119" s="22" t="str">
        <f>'Wzorzec kategorii'!B81</f>
        <v>.</v>
      </c>
      <c r="C119" s="47">
        <f>Tabela832[[#This Row],[Kolumna2]]+Tabela83270[[#This Row],[Kolumna2]]+Tabela832102[[#This Row],[Kolumna2]]+Tabela832134[[#This Row],[Kolumna2]]+Tabela832166[[#This Row],[Kolumna2]]+Tabela832198[[#This Row],[Kolumna2]]+Tabela832230[[#This Row],[Kolumna2]]+Tabela832262[[#This Row],[Kolumna2]]+Tabela832294[[#This Row],[Kolumna2]]+Tabela832326[[#This Row],[Kolumna2]]+Tabela832371[[#This Row],[Kolumna2]]+Tabela832416[[#This Row],[Kolumna2]]</f>
        <v>0</v>
      </c>
      <c r="D119" s="20">
        <f>Tabela832[[#This Row],[Kolumna3]]+Tabela83270[[#This Row],[Kolumna3]]+Tabela832102[[#This Row],[Kolumna3]]+Tabela832134[[#This Row],[Kolumna3]]+Tabela832166[[#This Row],[Kolumna3]]+Tabela832198[[#This Row],[Kolumna3]]+Tabela832230[[#This Row],[Kolumna3]]+Tabela832262[[#This Row],[Kolumna3]]+Tabela832294[[#This Row],[Kolumna3]]+Tabela832326[[#This Row],[Kolumna3]]+Tabela832371[[#This Row],[Kolumna3]]+Tabela832416[[#This Row],[Kolumna3]]</f>
        <v>0</v>
      </c>
      <c r="E119" s="20">
        <f t="shared" si="8"/>
        <v>0</v>
      </c>
      <c r="F119" s="53" t="str">
        <f t="shared" si="7"/>
        <v/>
      </c>
      <c r="G119" s="54"/>
      <c r="I119" s="25"/>
      <c r="J119" s="25"/>
    </row>
    <row r="120" spans="2:10" x14ac:dyDescent="0.2">
      <c r="I120" s="25"/>
      <c r="J120" s="25"/>
    </row>
    <row r="121" spans="2:10" x14ac:dyDescent="0.2">
      <c r="B121" s="2" t="str">
        <f>'Wzorzec kategorii'!B83</f>
        <v>Opieka zdrowotna</v>
      </c>
      <c r="C121" s="3">
        <f>SUM(Tabela933449[[#All],[Kolumna2]])</f>
        <v>0</v>
      </c>
      <c r="D121" s="16">
        <f>SUM(Tabela933449[[#All],[Kolumna3]])</f>
        <v>0</v>
      </c>
      <c r="E121" s="3">
        <f>C121-D121</f>
        <v>0</v>
      </c>
      <c r="F121" s="17" t="str">
        <f>IFERROR(D121/C121,"")</f>
        <v/>
      </c>
      <c r="G121" s="3"/>
      <c r="I121" s="25"/>
      <c r="J121" s="25"/>
    </row>
    <row r="122" spans="2:10" x14ac:dyDescent="0.2">
      <c r="B122" s="22" t="str">
        <f>'Wzorzec kategorii'!B84</f>
        <v>Lekarz</v>
      </c>
      <c r="C122" s="47">
        <f>Tabela933[[#This Row],[Kolumna2]]+Tabela93371[[#This Row],[Kolumna2]]+Tabela933103[[#This Row],[Kolumna2]]+Tabela933135[[#This Row],[Kolumna2]]+Tabela933167[[#This Row],[Kolumna2]]+Tabela933199[[#This Row],[Kolumna2]]+Tabela933231[[#This Row],[Kolumna2]]+Tabela933263[[#This Row],[Kolumna2]]+Tabela933295[[#This Row],[Kolumna2]]+Tabela933327[[#This Row],[Kolumna2]]+Tabela933372[[#This Row],[Kolumna2]]+Tabela933417[[#This Row],[Kolumna2]]</f>
        <v>0</v>
      </c>
      <c r="D122" s="20">
        <f>Tabela933[[#This Row],[Kolumna3]]+Tabela93371[[#This Row],[Kolumna3]]+Tabela933103[[#This Row],[Kolumna3]]+Tabela933135[[#This Row],[Kolumna3]]+Tabela933167[[#This Row],[Kolumna3]]+Tabela933199[[#This Row],[Kolumna3]]+Tabela933231[[#This Row],[Kolumna3]]+Tabela933263[[#This Row],[Kolumna3]]+Tabela933295[[#This Row],[Kolumna3]]+Tabela933327[[#This Row],[Kolumna3]]+Tabela933372[[#This Row],[Kolumna3]]+Tabela933417[[#This Row],[Kolumna3]]</f>
        <v>0</v>
      </c>
      <c r="E122" s="20">
        <f t="shared" ref="E122:E131" si="9">C122-D122</f>
        <v>0</v>
      </c>
      <c r="F122" s="21" t="str">
        <f>IFERROR(D122/C122,"")</f>
        <v/>
      </c>
      <c r="G122" s="24"/>
      <c r="I122" s="25"/>
      <c r="J122" s="25"/>
    </row>
    <row r="123" spans="2:10" x14ac:dyDescent="0.2">
      <c r="B123" s="22" t="str">
        <f>'Wzorzec kategorii'!B85</f>
        <v>Badania</v>
      </c>
      <c r="C123" s="47">
        <f>Tabela933[[#This Row],[Kolumna2]]+Tabela93371[[#This Row],[Kolumna2]]+Tabela933103[[#This Row],[Kolumna2]]+Tabela933135[[#This Row],[Kolumna2]]+Tabela933167[[#This Row],[Kolumna2]]+Tabela933199[[#This Row],[Kolumna2]]+Tabela933231[[#This Row],[Kolumna2]]+Tabela933263[[#This Row],[Kolumna2]]+Tabela933295[[#This Row],[Kolumna2]]+Tabela933327[[#This Row],[Kolumna2]]+Tabela933372[[#This Row],[Kolumna2]]+Tabela933417[[#This Row],[Kolumna2]]</f>
        <v>0</v>
      </c>
      <c r="D123" s="20">
        <f>Tabela933[[#This Row],[Kolumna3]]+Tabela93371[[#This Row],[Kolumna3]]+Tabela933103[[#This Row],[Kolumna3]]+Tabela933135[[#This Row],[Kolumna3]]+Tabela933167[[#This Row],[Kolumna3]]+Tabela933199[[#This Row],[Kolumna3]]+Tabela933231[[#This Row],[Kolumna3]]+Tabela933263[[#This Row],[Kolumna3]]+Tabela933295[[#This Row],[Kolumna3]]+Tabela933327[[#This Row],[Kolumna3]]+Tabela933372[[#This Row],[Kolumna3]]+Tabela933417[[#This Row],[Kolumna3]]</f>
        <v>0</v>
      </c>
      <c r="E123" s="20">
        <f t="shared" si="9"/>
        <v>0</v>
      </c>
      <c r="F123" s="21" t="str">
        <f>IFERROR(D123/C123,"")</f>
        <v/>
      </c>
      <c r="G123" s="24"/>
      <c r="I123" s="25"/>
      <c r="J123" s="25"/>
    </row>
    <row r="124" spans="2:10" x14ac:dyDescent="0.2">
      <c r="B124" s="22" t="str">
        <f>'Wzorzec kategorii'!B86</f>
        <v>Lekarstwa</v>
      </c>
      <c r="C124" s="47">
        <f>Tabela933[[#This Row],[Kolumna2]]+Tabela93371[[#This Row],[Kolumna2]]+Tabela933103[[#This Row],[Kolumna2]]+Tabela933135[[#This Row],[Kolumna2]]+Tabela933167[[#This Row],[Kolumna2]]+Tabela933199[[#This Row],[Kolumna2]]+Tabela933231[[#This Row],[Kolumna2]]+Tabela933263[[#This Row],[Kolumna2]]+Tabela933295[[#This Row],[Kolumna2]]+Tabela933327[[#This Row],[Kolumna2]]+Tabela933372[[#This Row],[Kolumna2]]+Tabela933417[[#This Row],[Kolumna2]]</f>
        <v>0</v>
      </c>
      <c r="D124" s="20">
        <f>Tabela933[[#This Row],[Kolumna3]]+Tabela93371[[#This Row],[Kolumna3]]+Tabela933103[[#This Row],[Kolumna3]]+Tabela933135[[#This Row],[Kolumna3]]+Tabela933167[[#This Row],[Kolumna3]]+Tabela933199[[#This Row],[Kolumna3]]+Tabela933231[[#This Row],[Kolumna3]]+Tabela933263[[#This Row],[Kolumna3]]+Tabela933295[[#This Row],[Kolumna3]]+Tabela933327[[#This Row],[Kolumna3]]+Tabela933372[[#This Row],[Kolumna3]]+Tabela933417[[#This Row],[Kolumna3]]</f>
        <v>0</v>
      </c>
      <c r="E124" s="20">
        <f t="shared" si="9"/>
        <v>0</v>
      </c>
      <c r="F124" s="21" t="str">
        <f>IFERROR(D124/C124,"")</f>
        <v/>
      </c>
      <c r="G124" s="24"/>
      <c r="I124" s="25"/>
      <c r="J124" s="25"/>
    </row>
    <row r="125" spans="2:10" x14ac:dyDescent="0.2">
      <c r="B125" s="22" t="str">
        <f>'Wzorzec kategorii'!B87</f>
        <v>Inne</v>
      </c>
      <c r="C125" s="47">
        <f>Tabela933[[#This Row],[Kolumna2]]+Tabela93371[[#This Row],[Kolumna2]]+Tabela933103[[#This Row],[Kolumna2]]+Tabela933135[[#This Row],[Kolumna2]]+Tabela933167[[#This Row],[Kolumna2]]+Tabela933199[[#This Row],[Kolumna2]]+Tabela933231[[#This Row],[Kolumna2]]+Tabela933263[[#This Row],[Kolumna2]]+Tabela933295[[#This Row],[Kolumna2]]+Tabela933327[[#This Row],[Kolumna2]]+Tabela933372[[#This Row],[Kolumna2]]+Tabela933417[[#This Row],[Kolumna2]]</f>
        <v>0</v>
      </c>
      <c r="D125" s="20">
        <f>Tabela933[[#This Row],[Kolumna3]]+Tabela93371[[#This Row],[Kolumna3]]+Tabela933103[[#This Row],[Kolumna3]]+Tabela933135[[#This Row],[Kolumna3]]+Tabela933167[[#This Row],[Kolumna3]]+Tabela933199[[#This Row],[Kolumna3]]+Tabela933231[[#This Row],[Kolumna3]]+Tabela933263[[#This Row],[Kolumna3]]+Tabela933295[[#This Row],[Kolumna3]]+Tabela933327[[#This Row],[Kolumna3]]+Tabela933372[[#This Row],[Kolumna3]]+Tabela933417[[#This Row],[Kolumna3]]</f>
        <v>0</v>
      </c>
      <c r="E125" s="20">
        <f t="shared" si="9"/>
        <v>0</v>
      </c>
      <c r="F125" s="21" t="str">
        <f>IFERROR(D125/C125,"")</f>
        <v/>
      </c>
      <c r="G125" s="24"/>
      <c r="I125" s="25"/>
      <c r="J125" s="25"/>
    </row>
    <row r="126" spans="2:10" x14ac:dyDescent="0.2">
      <c r="B126" s="50" t="str">
        <f>'Wzorzec kategorii'!B88</f>
        <v>.</v>
      </c>
      <c r="C126" s="47">
        <f>Tabela933[[#This Row],[Kolumna2]]+Tabela93371[[#This Row],[Kolumna2]]+Tabela933103[[#This Row],[Kolumna2]]+Tabela933135[[#This Row],[Kolumna2]]+Tabela933167[[#This Row],[Kolumna2]]+Tabela933199[[#This Row],[Kolumna2]]+Tabela933231[[#This Row],[Kolumna2]]+Tabela933263[[#This Row],[Kolumna2]]+Tabela933295[[#This Row],[Kolumna2]]+Tabela933327[[#This Row],[Kolumna2]]+Tabela933372[[#This Row],[Kolumna2]]+Tabela933417[[#This Row],[Kolumna2]]</f>
        <v>0</v>
      </c>
      <c r="D126" s="20">
        <f>Tabela933[[#This Row],[Kolumna3]]+Tabela93371[[#This Row],[Kolumna3]]+Tabela933103[[#This Row],[Kolumna3]]+Tabela933135[[#This Row],[Kolumna3]]+Tabela933167[[#This Row],[Kolumna3]]+Tabela933199[[#This Row],[Kolumna3]]+Tabela933231[[#This Row],[Kolumna3]]+Tabela933263[[#This Row],[Kolumna3]]+Tabela933295[[#This Row],[Kolumna3]]+Tabela933327[[#This Row],[Kolumna3]]+Tabela933372[[#This Row],[Kolumna3]]+Tabela933417[[#This Row],[Kolumna3]]</f>
        <v>0</v>
      </c>
      <c r="E126" s="20">
        <f t="shared" si="9"/>
        <v>0</v>
      </c>
      <c r="F126" s="53" t="str">
        <f t="shared" ref="F126:F131" si="10">IFERROR(D126/C126,"")</f>
        <v/>
      </c>
      <c r="G126" s="54"/>
      <c r="I126" s="25"/>
      <c r="J126" s="25"/>
    </row>
    <row r="127" spans="2:10" x14ac:dyDescent="0.2">
      <c r="B127" s="50" t="str">
        <f>'Wzorzec kategorii'!B89</f>
        <v>.</v>
      </c>
      <c r="C127" s="47">
        <f>Tabela933[[#This Row],[Kolumna2]]+Tabela93371[[#This Row],[Kolumna2]]+Tabela933103[[#This Row],[Kolumna2]]+Tabela933135[[#This Row],[Kolumna2]]+Tabela933167[[#This Row],[Kolumna2]]+Tabela933199[[#This Row],[Kolumna2]]+Tabela933231[[#This Row],[Kolumna2]]+Tabela933263[[#This Row],[Kolumna2]]+Tabela933295[[#This Row],[Kolumna2]]+Tabela933327[[#This Row],[Kolumna2]]+Tabela933372[[#This Row],[Kolumna2]]+Tabela933417[[#This Row],[Kolumna2]]</f>
        <v>0</v>
      </c>
      <c r="D127" s="20">
        <f>Tabela933[[#This Row],[Kolumna3]]+Tabela93371[[#This Row],[Kolumna3]]+Tabela933103[[#This Row],[Kolumna3]]+Tabela933135[[#This Row],[Kolumna3]]+Tabela933167[[#This Row],[Kolumna3]]+Tabela933199[[#This Row],[Kolumna3]]+Tabela933231[[#This Row],[Kolumna3]]+Tabela933263[[#This Row],[Kolumna3]]+Tabela933295[[#This Row],[Kolumna3]]+Tabela933327[[#This Row],[Kolumna3]]+Tabela933372[[#This Row],[Kolumna3]]+Tabela933417[[#This Row],[Kolumna3]]</f>
        <v>0</v>
      </c>
      <c r="E127" s="20">
        <f t="shared" si="9"/>
        <v>0</v>
      </c>
      <c r="F127" s="53" t="str">
        <f t="shared" si="10"/>
        <v/>
      </c>
      <c r="G127" s="54"/>
      <c r="I127" s="25"/>
      <c r="J127" s="25"/>
    </row>
    <row r="128" spans="2:10" x14ac:dyDescent="0.2">
      <c r="B128" s="50" t="str">
        <f>'Wzorzec kategorii'!B90</f>
        <v>.</v>
      </c>
      <c r="C128" s="47">
        <f>Tabela933[[#This Row],[Kolumna2]]+Tabela93371[[#This Row],[Kolumna2]]+Tabela933103[[#This Row],[Kolumna2]]+Tabela933135[[#This Row],[Kolumna2]]+Tabela933167[[#This Row],[Kolumna2]]+Tabela933199[[#This Row],[Kolumna2]]+Tabela933231[[#This Row],[Kolumna2]]+Tabela933263[[#This Row],[Kolumna2]]+Tabela933295[[#This Row],[Kolumna2]]+Tabela933327[[#This Row],[Kolumna2]]+Tabela933372[[#This Row],[Kolumna2]]+Tabela933417[[#This Row],[Kolumna2]]</f>
        <v>0</v>
      </c>
      <c r="D128" s="20">
        <f>Tabela933[[#This Row],[Kolumna3]]+Tabela93371[[#This Row],[Kolumna3]]+Tabela933103[[#This Row],[Kolumna3]]+Tabela933135[[#This Row],[Kolumna3]]+Tabela933167[[#This Row],[Kolumna3]]+Tabela933199[[#This Row],[Kolumna3]]+Tabela933231[[#This Row],[Kolumna3]]+Tabela933263[[#This Row],[Kolumna3]]+Tabela933295[[#This Row],[Kolumna3]]+Tabela933327[[#This Row],[Kolumna3]]+Tabela933372[[#This Row],[Kolumna3]]+Tabela933417[[#This Row],[Kolumna3]]</f>
        <v>0</v>
      </c>
      <c r="E128" s="20">
        <f t="shared" si="9"/>
        <v>0</v>
      </c>
      <c r="F128" s="53" t="str">
        <f t="shared" si="10"/>
        <v/>
      </c>
      <c r="G128" s="54"/>
      <c r="I128" s="25"/>
      <c r="J128" s="25"/>
    </row>
    <row r="129" spans="2:10" x14ac:dyDescent="0.2">
      <c r="B129" s="50" t="str">
        <f>'Wzorzec kategorii'!B91</f>
        <v>.</v>
      </c>
      <c r="C129" s="47">
        <f>Tabela933[[#This Row],[Kolumna2]]+Tabela93371[[#This Row],[Kolumna2]]+Tabela933103[[#This Row],[Kolumna2]]+Tabela933135[[#This Row],[Kolumna2]]+Tabela933167[[#This Row],[Kolumna2]]+Tabela933199[[#This Row],[Kolumna2]]+Tabela933231[[#This Row],[Kolumna2]]+Tabela933263[[#This Row],[Kolumna2]]+Tabela933295[[#This Row],[Kolumna2]]+Tabela933327[[#This Row],[Kolumna2]]+Tabela933372[[#This Row],[Kolumna2]]+Tabela933417[[#This Row],[Kolumna2]]</f>
        <v>0</v>
      </c>
      <c r="D129" s="20">
        <f>Tabela933[[#This Row],[Kolumna3]]+Tabela93371[[#This Row],[Kolumna3]]+Tabela933103[[#This Row],[Kolumna3]]+Tabela933135[[#This Row],[Kolumna3]]+Tabela933167[[#This Row],[Kolumna3]]+Tabela933199[[#This Row],[Kolumna3]]+Tabela933231[[#This Row],[Kolumna3]]+Tabela933263[[#This Row],[Kolumna3]]+Tabela933295[[#This Row],[Kolumna3]]+Tabela933327[[#This Row],[Kolumna3]]+Tabela933372[[#This Row],[Kolumna3]]+Tabela933417[[#This Row],[Kolumna3]]</f>
        <v>0</v>
      </c>
      <c r="E129" s="20">
        <f t="shared" si="9"/>
        <v>0</v>
      </c>
      <c r="F129" s="53" t="str">
        <f t="shared" si="10"/>
        <v/>
      </c>
      <c r="G129" s="54"/>
      <c r="I129" s="25"/>
      <c r="J129" s="25"/>
    </row>
    <row r="130" spans="2:10" x14ac:dyDescent="0.2">
      <c r="B130" s="50" t="str">
        <f>'Wzorzec kategorii'!B92</f>
        <v>.</v>
      </c>
      <c r="C130" s="47">
        <f>Tabela933[[#This Row],[Kolumna2]]+Tabela93371[[#This Row],[Kolumna2]]+Tabela933103[[#This Row],[Kolumna2]]+Tabela933135[[#This Row],[Kolumna2]]+Tabela933167[[#This Row],[Kolumna2]]+Tabela933199[[#This Row],[Kolumna2]]+Tabela933231[[#This Row],[Kolumna2]]+Tabela933263[[#This Row],[Kolumna2]]+Tabela933295[[#This Row],[Kolumna2]]+Tabela933327[[#This Row],[Kolumna2]]+Tabela933372[[#This Row],[Kolumna2]]+Tabela933417[[#This Row],[Kolumna2]]</f>
        <v>0</v>
      </c>
      <c r="D130" s="20">
        <f>Tabela933[[#This Row],[Kolumna3]]+Tabela93371[[#This Row],[Kolumna3]]+Tabela933103[[#This Row],[Kolumna3]]+Tabela933135[[#This Row],[Kolumna3]]+Tabela933167[[#This Row],[Kolumna3]]+Tabela933199[[#This Row],[Kolumna3]]+Tabela933231[[#This Row],[Kolumna3]]+Tabela933263[[#This Row],[Kolumna3]]+Tabela933295[[#This Row],[Kolumna3]]+Tabela933327[[#This Row],[Kolumna3]]+Tabela933372[[#This Row],[Kolumna3]]+Tabela933417[[#This Row],[Kolumna3]]</f>
        <v>0</v>
      </c>
      <c r="E130" s="20">
        <f t="shared" si="9"/>
        <v>0</v>
      </c>
      <c r="F130" s="53" t="str">
        <f t="shared" si="10"/>
        <v/>
      </c>
      <c r="G130" s="54"/>
      <c r="I130" s="25"/>
      <c r="J130" s="25"/>
    </row>
    <row r="131" spans="2:10" x14ac:dyDescent="0.2">
      <c r="B131" s="50" t="str">
        <f>'Wzorzec kategorii'!B93</f>
        <v>.</v>
      </c>
      <c r="C131" s="47">
        <f>Tabela933[[#This Row],[Kolumna2]]+Tabela93371[[#This Row],[Kolumna2]]+Tabela933103[[#This Row],[Kolumna2]]+Tabela933135[[#This Row],[Kolumna2]]+Tabela933167[[#This Row],[Kolumna2]]+Tabela933199[[#This Row],[Kolumna2]]+Tabela933231[[#This Row],[Kolumna2]]+Tabela933263[[#This Row],[Kolumna2]]+Tabela933295[[#This Row],[Kolumna2]]+Tabela933327[[#This Row],[Kolumna2]]+Tabela933372[[#This Row],[Kolumna2]]+Tabela933417[[#This Row],[Kolumna2]]</f>
        <v>0</v>
      </c>
      <c r="D131" s="20">
        <f>Tabela933[[#This Row],[Kolumna3]]+Tabela93371[[#This Row],[Kolumna3]]+Tabela933103[[#This Row],[Kolumna3]]+Tabela933135[[#This Row],[Kolumna3]]+Tabela933167[[#This Row],[Kolumna3]]+Tabela933199[[#This Row],[Kolumna3]]+Tabela933231[[#This Row],[Kolumna3]]+Tabela933263[[#This Row],[Kolumna3]]+Tabela933295[[#This Row],[Kolumna3]]+Tabela933327[[#This Row],[Kolumna3]]+Tabela933372[[#This Row],[Kolumna3]]+Tabela933417[[#This Row],[Kolumna3]]</f>
        <v>0</v>
      </c>
      <c r="E131" s="20">
        <f t="shared" si="9"/>
        <v>0</v>
      </c>
      <c r="F131" s="53" t="str">
        <f t="shared" si="10"/>
        <v/>
      </c>
      <c r="G131" s="54"/>
      <c r="I131" s="25"/>
      <c r="J131" s="25"/>
    </row>
    <row r="132" spans="2:10" x14ac:dyDescent="0.2">
      <c r="B132" s="13"/>
      <c r="I132" s="25"/>
      <c r="J132" s="25"/>
    </row>
    <row r="133" spans="2:10" x14ac:dyDescent="0.2">
      <c r="B133" s="2" t="str">
        <f>'Wzorzec kategorii'!B95</f>
        <v>Ubranie</v>
      </c>
      <c r="C133" s="3">
        <f>SUM(Tabela1034450[[#All],[Kolumna2]])</f>
        <v>0</v>
      </c>
      <c r="D133" s="16">
        <f>SUM(Tabela1034450[[#All],[Kolumna3]])</f>
        <v>0</v>
      </c>
      <c r="E133" s="3">
        <f>C133-D133</f>
        <v>0</v>
      </c>
      <c r="F133" s="17" t="str">
        <f t="shared" ref="F133:F143" si="11">IFERROR(D133/C133,"")</f>
        <v/>
      </c>
      <c r="G133" s="3"/>
      <c r="I133" s="25"/>
      <c r="J133" s="25"/>
    </row>
    <row r="134" spans="2:10" x14ac:dyDescent="0.2">
      <c r="B134" s="22" t="str">
        <f>'Wzorzec kategorii'!B96</f>
        <v>Ubranie zwykłe</v>
      </c>
      <c r="C134" s="47">
        <f>Tabela1034[[#This Row],[Kolumna2]]+Tabela103472[[#This Row],[Kolumna2]]+Tabela1034104[[#This Row],[Kolumna2]]+Tabela1034136[[#This Row],[Kolumna2]]+Tabela1034168[[#This Row],[Kolumna2]]+Tabela1034200[[#This Row],[Kolumna2]]+Tabela1034232[[#This Row],[Kolumna2]]+Tabela1034264[[#This Row],[Kolumna2]]+Tabela1034296[[#This Row],[Kolumna2]]+Tabela1034328[[#This Row],[Kolumna2]]+Tabela1034373[[#This Row],[Kolumna2]]+Tabela1034418[[#This Row],[Kolumna2]]</f>
        <v>0</v>
      </c>
      <c r="D134" s="20">
        <f>Tabela1034[[#This Row],[Kolumna3]]+Tabela103472[[#This Row],[Kolumna3]]+Tabela1034104[[#This Row],[Kolumna3]]+Tabela1034136[[#This Row],[Kolumna3]]+Tabela1034168[[#This Row],[Kolumna3]]+Tabela1034200[[#This Row],[Kolumna3]]+Tabela1034232[[#This Row],[Kolumna3]]+Tabela1034264[[#This Row],[Kolumna3]]+Tabela1034296[[#This Row],[Kolumna3]]+Tabela1034328[[#This Row],[Kolumna3]]+Tabela1034373[[#This Row],[Kolumna3]]+Tabela1034418[[#This Row],[Kolumna3]]</f>
        <v>0</v>
      </c>
      <c r="E134" s="20">
        <f t="shared" ref="E134:E143" si="12">C134-D134</f>
        <v>0</v>
      </c>
      <c r="F134" s="21" t="str">
        <f t="shared" si="11"/>
        <v/>
      </c>
      <c r="G134" s="24"/>
      <c r="I134" s="25"/>
      <c r="J134" s="25"/>
    </row>
    <row r="135" spans="2:10" x14ac:dyDescent="0.2">
      <c r="B135" s="22" t="str">
        <f>'Wzorzec kategorii'!B97</f>
        <v>Ubranie sportowe</v>
      </c>
      <c r="C135" s="47">
        <f>Tabela1034[[#This Row],[Kolumna2]]+Tabela103472[[#This Row],[Kolumna2]]+Tabela1034104[[#This Row],[Kolumna2]]+Tabela1034136[[#This Row],[Kolumna2]]+Tabela1034168[[#This Row],[Kolumna2]]+Tabela1034200[[#This Row],[Kolumna2]]+Tabela1034232[[#This Row],[Kolumna2]]+Tabela1034264[[#This Row],[Kolumna2]]+Tabela1034296[[#This Row],[Kolumna2]]+Tabela1034328[[#This Row],[Kolumna2]]+Tabela1034373[[#This Row],[Kolumna2]]+Tabela1034418[[#This Row],[Kolumna2]]</f>
        <v>0</v>
      </c>
      <c r="D135" s="20">
        <f>Tabela1034[[#This Row],[Kolumna3]]+Tabela103472[[#This Row],[Kolumna3]]+Tabela1034104[[#This Row],[Kolumna3]]+Tabela1034136[[#This Row],[Kolumna3]]+Tabela1034168[[#This Row],[Kolumna3]]+Tabela1034200[[#This Row],[Kolumna3]]+Tabela1034232[[#This Row],[Kolumna3]]+Tabela1034264[[#This Row],[Kolumna3]]+Tabela1034296[[#This Row],[Kolumna3]]+Tabela1034328[[#This Row],[Kolumna3]]+Tabela1034373[[#This Row],[Kolumna3]]+Tabela1034418[[#This Row],[Kolumna3]]</f>
        <v>0</v>
      </c>
      <c r="E135" s="20">
        <f t="shared" si="12"/>
        <v>0</v>
      </c>
      <c r="F135" s="21" t="str">
        <f t="shared" si="11"/>
        <v/>
      </c>
      <c r="G135" s="24"/>
      <c r="I135" s="25"/>
      <c r="J135" s="25"/>
    </row>
    <row r="136" spans="2:10" x14ac:dyDescent="0.2">
      <c r="B136" s="22" t="str">
        <f>'Wzorzec kategorii'!B98</f>
        <v>Buty</v>
      </c>
      <c r="C136" s="47">
        <f>Tabela1034[[#This Row],[Kolumna2]]+Tabela103472[[#This Row],[Kolumna2]]+Tabela1034104[[#This Row],[Kolumna2]]+Tabela1034136[[#This Row],[Kolumna2]]+Tabela1034168[[#This Row],[Kolumna2]]+Tabela1034200[[#This Row],[Kolumna2]]+Tabela1034232[[#This Row],[Kolumna2]]+Tabela1034264[[#This Row],[Kolumna2]]+Tabela1034296[[#This Row],[Kolumna2]]+Tabela1034328[[#This Row],[Kolumna2]]+Tabela1034373[[#This Row],[Kolumna2]]+Tabela1034418[[#This Row],[Kolumna2]]</f>
        <v>0</v>
      </c>
      <c r="D136" s="20">
        <f>Tabela1034[[#This Row],[Kolumna3]]+Tabela103472[[#This Row],[Kolumna3]]+Tabela1034104[[#This Row],[Kolumna3]]+Tabela1034136[[#This Row],[Kolumna3]]+Tabela1034168[[#This Row],[Kolumna3]]+Tabela1034200[[#This Row],[Kolumna3]]+Tabela1034232[[#This Row],[Kolumna3]]+Tabela1034264[[#This Row],[Kolumna3]]+Tabela1034296[[#This Row],[Kolumna3]]+Tabela1034328[[#This Row],[Kolumna3]]+Tabela1034373[[#This Row],[Kolumna3]]+Tabela1034418[[#This Row],[Kolumna3]]</f>
        <v>0</v>
      </c>
      <c r="E136" s="20">
        <f t="shared" si="12"/>
        <v>0</v>
      </c>
      <c r="F136" s="21" t="str">
        <f t="shared" si="11"/>
        <v/>
      </c>
      <c r="G136" s="24"/>
      <c r="I136" s="25"/>
      <c r="J136" s="25"/>
    </row>
    <row r="137" spans="2:10" x14ac:dyDescent="0.2">
      <c r="B137" s="22" t="str">
        <f>'Wzorzec kategorii'!B99</f>
        <v>Dodatki</v>
      </c>
      <c r="C137" s="47">
        <f>Tabela1034[[#This Row],[Kolumna2]]+Tabela103472[[#This Row],[Kolumna2]]+Tabela1034104[[#This Row],[Kolumna2]]+Tabela1034136[[#This Row],[Kolumna2]]+Tabela1034168[[#This Row],[Kolumna2]]+Tabela1034200[[#This Row],[Kolumna2]]+Tabela1034232[[#This Row],[Kolumna2]]+Tabela1034264[[#This Row],[Kolumna2]]+Tabela1034296[[#This Row],[Kolumna2]]+Tabela1034328[[#This Row],[Kolumna2]]+Tabela1034373[[#This Row],[Kolumna2]]+Tabela1034418[[#This Row],[Kolumna2]]</f>
        <v>0</v>
      </c>
      <c r="D137" s="20">
        <f>Tabela1034[[#This Row],[Kolumna3]]+Tabela103472[[#This Row],[Kolumna3]]+Tabela1034104[[#This Row],[Kolumna3]]+Tabela1034136[[#This Row],[Kolumna3]]+Tabela1034168[[#This Row],[Kolumna3]]+Tabela1034200[[#This Row],[Kolumna3]]+Tabela1034232[[#This Row],[Kolumna3]]+Tabela1034264[[#This Row],[Kolumna3]]+Tabela1034296[[#This Row],[Kolumna3]]+Tabela1034328[[#This Row],[Kolumna3]]+Tabela1034373[[#This Row],[Kolumna3]]+Tabela1034418[[#This Row],[Kolumna3]]</f>
        <v>0</v>
      </c>
      <c r="E137" s="20">
        <f t="shared" si="12"/>
        <v>0</v>
      </c>
      <c r="F137" s="21" t="str">
        <f t="shared" si="11"/>
        <v/>
      </c>
      <c r="G137" s="24"/>
      <c r="I137" s="25"/>
      <c r="J137" s="25"/>
    </row>
    <row r="138" spans="2:10" x14ac:dyDescent="0.2">
      <c r="B138" s="22" t="str">
        <f>'Wzorzec kategorii'!B100</f>
        <v>Inne</v>
      </c>
      <c r="C138" s="47">
        <f>Tabela1034[[#This Row],[Kolumna2]]+Tabela103472[[#This Row],[Kolumna2]]+Tabela1034104[[#This Row],[Kolumna2]]+Tabela1034136[[#This Row],[Kolumna2]]+Tabela1034168[[#This Row],[Kolumna2]]+Tabela1034200[[#This Row],[Kolumna2]]+Tabela1034232[[#This Row],[Kolumna2]]+Tabela1034264[[#This Row],[Kolumna2]]+Tabela1034296[[#This Row],[Kolumna2]]+Tabela1034328[[#This Row],[Kolumna2]]+Tabela1034373[[#This Row],[Kolumna2]]+Tabela1034418[[#This Row],[Kolumna2]]</f>
        <v>0</v>
      </c>
      <c r="D138" s="20">
        <f>Tabela1034[[#This Row],[Kolumna3]]+Tabela103472[[#This Row],[Kolumna3]]+Tabela1034104[[#This Row],[Kolumna3]]+Tabela1034136[[#This Row],[Kolumna3]]+Tabela1034168[[#This Row],[Kolumna3]]+Tabela1034200[[#This Row],[Kolumna3]]+Tabela1034232[[#This Row],[Kolumna3]]+Tabela1034264[[#This Row],[Kolumna3]]+Tabela1034296[[#This Row],[Kolumna3]]+Tabela1034328[[#This Row],[Kolumna3]]+Tabela1034373[[#This Row],[Kolumna3]]+Tabela1034418[[#This Row],[Kolumna3]]</f>
        <v>0</v>
      </c>
      <c r="E138" s="20">
        <f t="shared" si="12"/>
        <v>0</v>
      </c>
      <c r="F138" s="21" t="str">
        <f t="shared" si="11"/>
        <v/>
      </c>
      <c r="G138" s="24"/>
      <c r="I138" s="25"/>
      <c r="J138" s="25"/>
    </row>
    <row r="139" spans="2:10" x14ac:dyDescent="0.2">
      <c r="B139" s="50" t="str">
        <f>'Wzorzec kategorii'!B101</f>
        <v>.</v>
      </c>
      <c r="C139" s="47">
        <f>Tabela1034[[#This Row],[Kolumna2]]+Tabela103472[[#This Row],[Kolumna2]]+Tabela1034104[[#This Row],[Kolumna2]]+Tabela1034136[[#This Row],[Kolumna2]]+Tabela1034168[[#This Row],[Kolumna2]]+Tabela1034200[[#This Row],[Kolumna2]]+Tabela1034232[[#This Row],[Kolumna2]]+Tabela1034264[[#This Row],[Kolumna2]]+Tabela1034296[[#This Row],[Kolumna2]]+Tabela1034328[[#This Row],[Kolumna2]]+Tabela1034373[[#This Row],[Kolumna2]]+Tabela1034418[[#This Row],[Kolumna2]]</f>
        <v>0</v>
      </c>
      <c r="D139" s="20">
        <f>Tabela1034[[#This Row],[Kolumna3]]+Tabela103472[[#This Row],[Kolumna3]]+Tabela1034104[[#This Row],[Kolumna3]]+Tabela1034136[[#This Row],[Kolumna3]]+Tabela1034168[[#This Row],[Kolumna3]]+Tabela1034200[[#This Row],[Kolumna3]]+Tabela1034232[[#This Row],[Kolumna3]]+Tabela1034264[[#This Row],[Kolumna3]]+Tabela1034296[[#This Row],[Kolumna3]]+Tabela1034328[[#This Row],[Kolumna3]]+Tabela1034373[[#This Row],[Kolumna3]]+Tabela1034418[[#This Row],[Kolumna3]]</f>
        <v>0</v>
      </c>
      <c r="E139" s="20">
        <f t="shared" si="12"/>
        <v>0</v>
      </c>
      <c r="F139" s="53" t="str">
        <f t="shared" si="11"/>
        <v/>
      </c>
      <c r="G139" s="54"/>
      <c r="I139" s="25"/>
      <c r="J139" s="25"/>
    </row>
    <row r="140" spans="2:10" x14ac:dyDescent="0.2">
      <c r="B140" s="50" t="str">
        <f>'Wzorzec kategorii'!B102</f>
        <v>.</v>
      </c>
      <c r="C140" s="47">
        <f>Tabela1034[[#This Row],[Kolumna2]]+Tabela103472[[#This Row],[Kolumna2]]+Tabela1034104[[#This Row],[Kolumna2]]+Tabela1034136[[#This Row],[Kolumna2]]+Tabela1034168[[#This Row],[Kolumna2]]+Tabela1034200[[#This Row],[Kolumna2]]+Tabela1034232[[#This Row],[Kolumna2]]+Tabela1034264[[#This Row],[Kolumna2]]+Tabela1034296[[#This Row],[Kolumna2]]+Tabela1034328[[#This Row],[Kolumna2]]+Tabela1034373[[#This Row],[Kolumna2]]+Tabela1034418[[#This Row],[Kolumna2]]</f>
        <v>0</v>
      </c>
      <c r="D140" s="20">
        <f>Tabela1034[[#This Row],[Kolumna3]]+Tabela103472[[#This Row],[Kolumna3]]+Tabela1034104[[#This Row],[Kolumna3]]+Tabela1034136[[#This Row],[Kolumna3]]+Tabela1034168[[#This Row],[Kolumna3]]+Tabela1034200[[#This Row],[Kolumna3]]+Tabela1034232[[#This Row],[Kolumna3]]+Tabela1034264[[#This Row],[Kolumna3]]+Tabela1034296[[#This Row],[Kolumna3]]+Tabela1034328[[#This Row],[Kolumna3]]+Tabela1034373[[#This Row],[Kolumna3]]+Tabela1034418[[#This Row],[Kolumna3]]</f>
        <v>0</v>
      </c>
      <c r="E140" s="20">
        <f t="shared" si="12"/>
        <v>0</v>
      </c>
      <c r="F140" s="53" t="str">
        <f t="shared" si="11"/>
        <v/>
      </c>
      <c r="G140" s="54"/>
      <c r="I140" s="25"/>
      <c r="J140" s="25"/>
    </row>
    <row r="141" spans="2:10" x14ac:dyDescent="0.2">
      <c r="B141" s="50" t="str">
        <f>'Wzorzec kategorii'!B103</f>
        <v>.</v>
      </c>
      <c r="C141" s="47">
        <f>Tabela1034[[#This Row],[Kolumna2]]+Tabela103472[[#This Row],[Kolumna2]]+Tabela1034104[[#This Row],[Kolumna2]]+Tabela1034136[[#This Row],[Kolumna2]]+Tabela1034168[[#This Row],[Kolumna2]]+Tabela1034200[[#This Row],[Kolumna2]]+Tabela1034232[[#This Row],[Kolumna2]]+Tabela1034264[[#This Row],[Kolumna2]]+Tabela1034296[[#This Row],[Kolumna2]]+Tabela1034328[[#This Row],[Kolumna2]]+Tabela1034373[[#This Row],[Kolumna2]]+Tabela1034418[[#This Row],[Kolumna2]]</f>
        <v>0</v>
      </c>
      <c r="D141" s="20">
        <f>Tabela1034[[#This Row],[Kolumna3]]+Tabela103472[[#This Row],[Kolumna3]]+Tabela1034104[[#This Row],[Kolumna3]]+Tabela1034136[[#This Row],[Kolumna3]]+Tabela1034168[[#This Row],[Kolumna3]]+Tabela1034200[[#This Row],[Kolumna3]]+Tabela1034232[[#This Row],[Kolumna3]]+Tabela1034264[[#This Row],[Kolumna3]]+Tabela1034296[[#This Row],[Kolumna3]]+Tabela1034328[[#This Row],[Kolumna3]]+Tabela1034373[[#This Row],[Kolumna3]]+Tabela1034418[[#This Row],[Kolumna3]]</f>
        <v>0</v>
      </c>
      <c r="E141" s="20">
        <f t="shared" si="12"/>
        <v>0</v>
      </c>
      <c r="F141" s="53" t="str">
        <f t="shared" si="11"/>
        <v/>
      </c>
      <c r="G141" s="54"/>
      <c r="I141" s="25"/>
      <c r="J141" s="25"/>
    </row>
    <row r="142" spans="2:10" x14ac:dyDescent="0.2">
      <c r="B142" s="50" t="str">
        <f>'Wzorzec kategorii'!B104</f>
        <v>.</v>
      </c>
      <c r="C142" s="47">
        <f>Tabela1034[[#This Row],[Kolumna2]]+Tabela103472[[#This Row],[Kolumna2]]+Tabela1034104[[#This Row],[Kolumna2]]+Tabela1034136[[#This Row],[Kolumna2]]+Tabela1034168[[#This Row],[Kolumna2]]+Tabela1034200[[#This Row],[Kolumna2]]+Tabela1034232[[#This Row],[Kolumna2]]+Tabela1034264[[#This Row],[Kolumna2]]+Tabela1034296[[#This Row],[Kolumna2]]+Tabela1034328[[#This Row],[Kolumna2]]+Tabela1034373[[#This Row],[Kolumna2]]+Tabela1034418[[#This Row],[Kolumna2]]</f>
        <v>0</v>
      </c>
      <c r="D142" s="20">
        <f>Tabela1034[[#This Row],[Kolumna3]]+Tabela103472[[#This Row],[Kolumna3]]+Tabela1034104[[#This Row],[Kolumna3]]+Tabela1034136[[#This Row],[Kolumna3]]+Tabela1034168[[#This Row],[Kolumna3]]+Tabela1034200[[#This Row],[Kolumna3]]+Tabela1034232[[#This Row],[Kolumna3]]+Tabela1034264[[#This Row],[Kolumna3]]+Tabela1034296[[#This Row],[Kolumna3]]+Tabela1034328[[#This Row],[Kolumna3]]+Tabela1034373[[#This Row],[Kolumna3]]+Tabela1034418[[#This Row],[Kolumna3]]</f>
        <v>0</v>
      </c>
      <c r="E142" s="20">
        <f t="shared" si="12"/>
        <v>0</v>
      </c>
      <c r="F142" s="53" t="str">
        <f t="shared" si="11"/>
        <v/>
      </c>
      <c r="G142" s="54"/>
      <c r="I142" s="25"/>
      <c r="J142" s="25"/>
    </row>
    <row r="143" spans="2:10" x14ac:dyDescent="0.2">
      <c r="B143" s="50" t="str">
        <f>'Wzorzec kategorii'!B105</f>
        <v>.</v>
      </c>
      <c r="C143" s="47">
        <f>Tabela1034[[#This Row],[Kolumna2]]+Tabela103472[[#This Row],[Kolumna2]]+Tabela1034104[[#This Row],[Kolumna2]]+Tabela1034136[[#This Row],[Kolumna2]]+Tabela1034168[[#This Row],[Kolumna2]]+Tabela1034200[[#This Row],[Kolumna2]]+Tabela1034232[[#This Row],[Kolumna2]]+Tabela1034264[[#This Row],[Kolumna2]]+Tabela1034296[[#This Row],[Kolumna2]]+Tabela1034328[[#This Row],[Kolumna2]]+Tabela1034373[[#This Row],[Kolumna2]]+Tabela1034418[[#This Row],[Kolumna2]]</f>
        <v>0</v>
      </c>
      <c r="D143" s="20">
        <f>Tabela1034[[#This Row],[Kolumna3]]+Tabela103472[[#This Row],[Kolumna3]]+Tabela1034104[[#This Row],[Kolumna3]]+Tabela1034136[[#This Row],[Kolumna3]]+Tabela1034168[[#This Row],[Kolumna3]]+Tabela1034200[[#This Row],[Kolumna3]]+Tabela1034232[[#This Row],[Kolumna3]]+Tabela1034264[[#This Row],[Kolumna3]]+Tabela1034296[[#This Row],[Kolumna3]]+Tabela1034328[[#This Row],[Kolumna3]]+Tabela1034373[[#This Row],[Kolumna3]]+Tabela1034418[[#This Row],[Kolumna3]]</f>
        <v>0</v>
      </c>
      <c r="E143" s="20">
        <f t="shared" si="12"/>
        <v>0</v>
      </c>
      <c r="F143" s="53" t="str">
        <f t="shared" si="11"/>
        <v/>
      </c>
      <c r="G143" s="54"/>
      <c r="I143" s="25"/>
      <c r="J143" s="25"/>
    </row>
    <row r="144" spans="2:10" x14ac:dyDescent="0.2">
      <c r="B144" s="5" t="s">
        <v>30</v>
      </c>
      <c r="I144" s="25"/>
      <c r="J144" s="25"/>
    </row>
    <row r="145" spans="2:10" x14ac:dyDescent="0.2">
      <c r="B145" s="2" t="str">
        <f>'Wzorzec kategorii'!B107</f>
        <v>Higiena</v>
      </c>
      <c r="C145" s="3">
        <f>SUM(Tabela1135451[[#All],[Kolumna2]])</f>
        <v>0</v>
      </c>
      <c r="D145" s="16">
        <f>SUM(Tabela1135451[[#All],[Kolumna3]])</f>
        <v>0</v>
      </c>
      <c r="E145" s="3">
        <f>C145-D145</f>
        <v>0</v>
      </c>
      <c r="F145" s="17" t="str">
        <f t="shared" ref="F145:F155" si="13">IFERROR(D145/C145,"")</f>
        <v/>
      </c>
      <c r="G145" s="3"/>
      <c r="I145" s="25"/>
      <c r="J145" s="25"/>
    </row>
    <row r="146" spans="2:10" x14ac:dyDescent="0.2">
      <c r="B146" s="22" t="str">
        <f>'Wzorzec kategorii'!B108</f>
        <v>Kosmetyki</v>
      </c>
      <c r="C146" s="47">
        <f>Tabela1135[[#This Row],[Kolumna2]]+Tabela113573[[#This Row],[Kolumna2]]+Tabela1135105[[#This Row],[Kolumna2]]+Tabela1135137[[#This Row],[Kolumna2]]+Tabela1135169[[#This Row],[Kolumna2]]+Tabela1135201[[#This Row],[Kolumna2]]+Tabela1135233[[#This Row],[Kolumna2]]+Tabela1135265[[#This Row],[Kolumna2]]+Tabela1135297[[#This Row],[Kolumna2]]+Tabela1135329[[#This Row],[Kolumna2]]+Tabela1135374[[#This Row],[Kolumna2]]+Tabela1135419[[#This Row],[Kolumna2]]</f>
        <v>0</v>
      </c>
      <c r="D146" s="47">
        <f>Tabela1135[[#This Row],[Kolumna3]]+Tabela113573[[#This Row],[Kolumna3]]+Tabela1135105[[#This Row],[Kolumna3]]+Tabela1135137[[#This Row],[Kolumna3]]+Tabela1135169[[#This Row],[Kolumna3]]+Tabela1135201[[#This Row],[Kolumna3]]+Tabela1135233[[#This Row],[Kolumna3]]+Tabela1135265[[#This Row],[Kolumna3]]+Tabela1135297[[#This Row],[Kolumna3]]+Tabela1135329[[#This Row],[Kolumna3]]+Tabela1135374[[#This Row],[Kolumna3]]+Tabela1135419[[#This Row],[Kolumna3]]</f>
        <v>0</v>
      </c>
      <c r="E146" s="20">
        <f t="shared" ref="E146:E155" si="14">C146-D146</f>
        <v>0</v>
      </c>
      <c r="F146" s="21" t="str">
        <f t="shared" si="13"/>
        <v/>
      </c>
      <c r="G146" s="24"/>
      <c r="I146" s="25"/>
      <c r="J146" s="25"/>
    </row>
    <row r="147" spans="2:10" x14ac:dyDescent="0.2">
      <c r="B147" s="22" t="str">
        <f>'Wzorzec kategorii'!B109</f>
        <v>Środki czystości (chemia)</v>
      </c>
      <c r="C147" s="47">
        <f>Tabela1135[[#This Row],[Kolumna2]]+Tabela113573[[#This Row],[Kolumna2]]+Tabela1135105[[#This Row],[Kolumna2]]+Tabela1135137[[#This Row],[Kolumna2]]+Tabela1135169[[#This Row],[Kolumna2]]+Tabela1135201[[#This Row],[Kolumna2]]+Tabela1135233[[#This Row],[Kolumna2]]+Tabela1135265[[#This Row],[Kolumna2]]+Tabela1135297[[#This Row],[Kolumna2]]+Tabela1135329[[#This Row],[Kolumna2]]+Tabela1135374[[#This Row],[Kolumna2]]+Tabela1135419[[#This Row],[Kolumna2]]</f>
        <v>0</v>
      </c>
      <c r="D147" s="47">
        <f>Tabela1135[[#This Row],[Kolumna3]]+Tabela113573[[#This Row],[Kolumna3]]+Tabela1135105[[#This Row],[Kolumna3]]+Tabela1135137[[#This Row],[Kolumna3]]+Tabela1135169[[#This Row],[Kolumna3]]+Tabela1135201[[#This Row],[Kolumna3]]+Tabela1135233[[#This Row],[Kolumna3]]+Tabela1135265[[#This Row],[Kolumna3]]+Tabela1135297[[#This Row],[Kolumna3]]+Tabela1135329[[#This Row],[Kolumna3]]+Tabela1135374[[#This Row],[Kolumna3]]+Tabela1135419[[#This Row],[Kolumna3]]</f>
        <v>0</v>
      </c>
      <c r="E147" s="20">
        <f t="shared" si="14"/>
        <v>0</v>
      </c>
      <c r="F147" s="21" t="str">
        <f t="shared" si="13"/>
        <v/>
      </c>
      <c r="G147" s="24"/>
      <c r="I147" s="25"/>
      <c r="J147" s="25"/>
    </row>
    <row r="148" spans="2:10" x14ac:dyDescent="0.2">
      <c r="B148" s="22" t="str">
        <f>'Wzorzec kategorii'!B110</f>
        <v>Fryzjer</v>
      </c>
      <c r="C148" s="47">
        <f>Tabela1135[[#This Row],[Kolumna2]]+Tabela113573[[#This Row],[Kolumna2]]+Tabela1135105[[#This Row],[Kolumna2]]+Tabela1135137[[#This Row],[Kolumna2]]+Tabela1135169[[#This Row],[Kolumna2]]+Tabela1135201[[#This Row],[Kolumna2]]+Tabela1135233[[#This Row],[Kolumna2]]+Tabela1135265[[#This Row],[Kolumna2]]+Tabela1135297[[#This Row],[Kolumna2]]+Tabela1135329[[#This Row],[Kolumna2]]+Tabela1135374[[#This Row],[Kolumna2]]+Tabela1135419[[#This Row],[Kolumna2]]</f>
        <v>0</v>
      </c>
      <c r="D148" s="47">
        <f>Tabela1135[[#This Row],[Kolumna3]]+Tabela113573[[#This Row],[Kolumna3]]+Tabela1135105[[#This Row],[Kolumna3]]+Tabela1135137[[#This Row],[Kolumna3]]+Tabela1135169[[#This Row],[Kolumna3]]+Tabela1135201[[#This Row],[Kolumna3]]+Tabela1135233[[#This Row],[Kolumna3]]+Tabela1135265[[#This Row],[Kolumna3]]+Tabela1135297[[#This Row],[Kolumna3]]+Tabela1135329[[#This Row],[Kolumna3]]+Tabela1135374[[#This Row],[Kolumna3]]+Tabela1135419[[#This Row],[Kolumna3]]</f>
        <v>0</v>
      </c>
      <c r="E148" s="20">
        <f t="shared" si="14"/>
        <v>0</v>
      </c>
      <c r="F148" s="21" t="str">
        <f t="shared" si="13"/>
        <v/>
      </c>
      <c r="G148" s="24"/>
      <c r="I148" s="25"/>
      <c r="J148" s="25"/>
    </row>
    <row r="149" spans="2:10" x14ac:dyDescent="0.2">
      <c r="B149" s="22" t="str">
        <f>'Wzorzec kategorii'!B111</f>
        <v>Kosmetyczka</v>
      </c>
      <c r="C149" s="47">
        <f>Tabela1135[[#This Row],[Kolumna2]]+Tabela113573[[#This Row],[Kolumna2]]+Tabela1135105[[#This Row],[Kolumna2]]+Tabela1135137[[#This Row],[Kolumna2]]+Tabela1135169[[#This Row],[Kolumna2]]+Tabela1135201[[#This Row],[Kolumna2]]+Tabela1135233[[#This Row],[Kolumna2]]+Tabela1135265[[#This Row],[Kolumna2]]+Tabela1135297[[#This Row],[Kolumna2]]+Tabela1135329[[#This Row],[Kolumna2]]+Tabela1135374[[#This Row],[Kolumna2]]+Tabela1135419[[#This Row],[Kolumna2]]</f>
        <v>0</v>
      </c>
      <c r="D149" s="47">
        <f>Tabela1135[[#This Row],[Kolumna3]]+Tabela113573[[#This Row],[Kolumna3]]+Tabela1135105[[#This Row],[Kolumna3]]+Tabela1135137[[#This Row],[Kolumna3]]+Tabela1135169[[#This Row],[Kolumna3]]+Tabela1135201[[#This Row],[Kolumna3]]+Tabela1135233[[#This Row],[Kolumna3]]+Tabela1135265[[#This Row],[Kolumna3]]+Tabela1135297[[#This Row],[Kolumna3]]+Tabela1135329[[#This Row],[Kolumna3]]+Tabela1135374[[#This Row],[Kolumna3]]+Tabela1135419[[#This Row],[Kolumna3]]</f>
        <v>0</v>
      </c>
      <c r="E149" s="20">
        <f t="shared" si="14"/>
        <v>0</v>
      </c>
      <c r="F149" s="21" t="str">
        <f t="shared" si="13"/>
        <v/>
      </c>
      <c r="G149" s="24"/>
      <c r="I149" s="25"/>
      <c r="J149" s="25"/>
    </row>
    <row r="150" spans="2:10" x14ac:dyDescent="0.2">
      <c r="B150" s="22" t="str">
        <f>'Wzorzec kategorii'!B112</f>
        <v>Inne</v>
      </c>
      <c r="C150" s="47">
        <f>Tabela1135[[#This Row],[Kolumna2]]+Tabela113573[[#This Row],[Kolumna2]]+Tabela1135105[[#This Row],[Kolumna2]]+Tabela1135137[[#This Row],[Kolumna2]]+Tabela1135169[[#This Row],[Kolumna2]]+Tabela1135201[[#This Row],[Kolumna2]]+Tabela1135233[[#This Row],[Kolumna2]]+Tabela1135265[[#This Row],[Kolumna2]]+Tabela1135297[[#This Row],[Kolumna2]]+Tabela1135329[[#This Row],[Kolumna2]]+Tabela1135374[[#This Row],[Kolumna2]]+Tabela1135419[[#This Row],[Kolumna2]]</f>
        <v>0</v>
      </c>
      <c r="D150" s="47">
        <f>Tabela1135[[#This Row],[Kolumna3]]+Tabela113573[[#This Row],[Kolumna3]]+Tabela1135105[[#This Row],[Kolumna3]]+Tabela1135137[[#This Row],[Kolumna3]]+Tabela1135169[[#This Row],[Kolumna3]]+Tabela1135201[[#This Row],[Kolumna3]]+Tabela1135233[[#This Row],[Kolumna3]]+Tabela1135265[[#This Row],[Kolumna3]]+Tabela1135297[[#This Row],[Kolumna3]]+Tabela1135329[[#This Row],[Kolumna3]]+Tabela1135374[[#This Row],[Kolumna3]]+Tabela1135419[[#This Row],[Kolumna3]]</f>
        <v>0</v>
      </c>
      <c r="E150" s="20">
        <f t="shared" si="14"/>
        <v>0</v>
      </c>
      <c r="F150" s="21" t="str">
        <f t="shared" si="13"/>
        <v/>
      </c>
      <c r="G150" s="24"/>
      <c r="I150" s="25"/>
      <c r="J150" s="25"/>
    </row>
    <row r="151" spans="2:10" x14ac:dyDescent="0.2">
      <c r="B151" s="22" t="str">
        <f>'Wzorzec kategorii'!B113</f>
        <v>.</v>
      </c>
      <c r="C151" s="47">
        <f>Tabela1135[[#This Row],[Kolumna2]]+Tabela113573[[#This Row],[Kolumna2]]+Tabela1135105[[#This Row],[Kolumna2]]+Tabela1135137[[#This Row],[Kolumna2]]+Tabela1135169[[#This Row],[Kolumna2]]+Tabela1135201[[#This Row],[Kolumna2]]+Tabela1135233[[#This Row],[Kolumna2]]+Tabela1135265[[#This Row],[Kolumna2]]+Tabela1135297[[#This Row],[Kolumna2]]+Tabela1135329[[#This Row],[Kolumna2]]+Tabela1135374[[#This Row],[Kolumna2]]+Tabela1135419[[#This Row],[Kolumna2]]</f>
        <v>0</v>
      </c>
      <c r="D151" s="47">
        <f>Tabela1135[[#This Row],[Kolumna3]]+Tabela113573[[#This Row],[Kolumna3]]+Tabela1135105[[#This Row],[Kolumna3]]+Tabela1135137[[#This Row],[Kolumna3]]+Tabela1135169[[#This Row],[Kolumna3]]+Tabela1135201[[#This Row],[Kolumna3]]+Tabela1135233[[#This Row],[Kolumna3]]+Tabela1135265[[#This Row],[Kolumna3]]+Tabela1135297[[#This Row],[Kolumna3]]+Tabela1135329[[#This Row],[Kolumna3]]+Tabela1135374[[#This Row],[Kolumna3]]+Tabela1135419[[#This Row],[Kolumna3]]</f>
        <v>0</v>
      </c>
      <c r="E151" s="20">
        <f t="shared" si="14"/>
        <v>0</v>
      </c>
      <c r="F151" s="53" t="str">
        <f t="shared" si="13"/>
        <v/>
      </c>
      <c r="G151" s="54"/>
      <c r="I151" s="25"/>
      <c r="J151" s="25"/>
    </row>
    <row r="152" spans="2:10" x14ac:dyDescent="0.2">
      <c r="B152" s="22" t="str">
        <f>'Wzorzec kategorii'!B114</f>
        <v>.</v>
      </c>
      <c r="C152" s="47">
        <f>Tabela1135[[#This Row],[Kolumna2]]+Tabela113573[[#This Row],[Kolumna2]]+Tabela1135105[[#This Row],[Kolumna2]]+Tabela1135137[[#This Row],[Kolumna2]]+Tabela1135169[[#This Row],[Kolumna2]]+Tabela1135201[[#This Row],[Kolumna2]]+Tabela1135233[[#This Row],[Kolumna2]]+Tabela1135265[[#This Row],[Kolumna2]]+Tabela1135297[[#This Row],[Kolumna2]]+Tabela1135329[[#This Row],[Kolumna2]]+Tabela1135374[[#This Row],[Kolumna2]]+Tabela1135419[[#This Row],[Kolumna2]]</f>
        <v>0</v>
      </c>
      <c r="D152" s="47">
        <f>Tabela1135[[#This Row],[Kolumna3]]+Tabela113573[[#This Row],[Kolumna3]]+Tabela1135105[[#This Row],[Kolumna3]]+Tabela1135137[[#This Row],[Kolumna3]]+Tabela1135169[[#This Row],[Kolumna3]]+Tabela1135201[[#This Row],[Kolumna3]]+Tabela1135233[[#This Row],[Kolumna3]]+Tabela1135265[[#This Row],[Kolumna3]]+Tabela1135297[[#This Row],[Kolumna3]]+Tabela1135329[[#This Row],[Kolumna3]]+Tabela1135374[[#This Row],[Kolumna3]]+Tabela1135419[[#This Row],[Kolumna3]]</f>
        <v>0</v>
      </c>
      <c r="E152" s="20">
        <f t="shared" si="14"/>
        <v>0</v>
      </c>
      <c r="F152" s="53" t="str">
        <f t="shared" si="13"/>
        <v/>
      </c>
      <c r="G152" s="54"/>
      <c r="I152" s="25"/>
      <c r="J152" s="25"/>
    </row>
    <row r="153" spans="2:10" x14ac:dyDescent="0.2">
      <c r="B153" s="22" t="str">
        <f>'Wzorzec kategorii'!B115</f>
        <v>.</v>
      </c>
      <c r="C153" s="47">
        <f>Tabela1135[[#This Row],[Kolumna2]]+Tabela113573[[#This Row],[Kolumna2]]+Tabela1135105[[#This Row],[Kolumna2]]+Tabela1135137[[#This Row],[Kolumna2]]+Tabela1135169[[#This Row],[Kolumna2]]+Tabela1135201[[#This Row],[Kolumna2]]+Tabela1135233[[#This Row],[Kolumna2]]+Tabela1135265[[#This Row],[Kolumna2]]+Tabela1135297[[#This Row],[Kolumna2]]+Tabela1135329[[#This Row],[Kolumna2]]+Tabela1135374[[#This Row],[Kolumna2]]+Tabela1135419[[#This Row],[Kolumna2]]</f>
        <v>0</v>
      </c>
      <c r="D153" s="47">
        <f>Tabela1135[[#This Row],[Kolumna3]]+Tabela113573[[#This Row],[Kolumna3]]+Tabela1135105[[#This Row],[Kolumna3]]+Tabela1135137[[#This Row],[Kolumna3]]+Tabela1135169[[#This Row],[Kolumna3]]+Tabela1135201[[#This Row],[Kolumna3]]+Tabela1135233[[#This Row],[Kolumna3]]+Tabela1135265[[#This Row],[Kolumna3]]+Tabela1135297[[#This Row],[Kolumna3]]+Tabela1135329[[#This Row],[Kolumna3]]+Tabela1135374[[#This Row],[Kolumna3]]+Tabela1135419[[#This Row],[Kolumna3]]</f>
        <v>0</v>
      </c>
      <c r="E153" s="20">
        <f t="shared" si="14"/>
        <v>0</v>
      </c>
      <c r="F153" s="53" t="str">
        <f t="shared" si="13"/>
        <v/>
      </c>
      <c r="G153" s="54"/>
      <c r="I153" s="25"/>
      <c r="J153" s="25"/>
    </row>
    <row r="154" spans="2:10" x14ac:dyDescent="0.2">
      <c r="B154" s="22" t="str">
        <f>'Wzorzec kategorii'!B116</f>
        <v>.</v>
      </c>
      <c r="C154" s="47">
        <f>Tabela1135[[#This Row],[Kolumna2]]+Tabela113573[[#This Row],[Kolumna2]]+Tabela1135105[[#This Row],[Kolumna2]]+Tabela1135137[[#This Row],[Kolumna2]]+Tabela1135169[[#This Row],[Kolumna2]]+Tabela1135201[[#This Row],[Kolumna2]]+Tabela1135233[[#This Row],[Kolumna2]]+Tabela1135265[[#This Row],[Kolumna2]]+Tabela1135297[[#This Row],[Kolumna2]]+Tabela1135329[[#This Row],[Kolumna2]]+Tabela1135374[[#This Row],[Kolumna2]]+Tabela1135419[[#This Row],[Kolumna2]]</f>
        <v>0</v>
      </c>
      <c r="D154" s="47">
        <f>Tabela1135[[#This Row],[Kolumna3]]+Tabela113573[[#This Row],[Kolumna3]]+Tabela1135105[[#This Row],[Kolumna3]]+Tabela1135137[[#This Row],[Kolumna3]]+Tabela1135169[[#This Row],[Kolumna3]]+Tabela1135201[[#This Row],[Kolumna3]]+Tabela1135233[[#This Row],[Kolumna3]]+Tabela1135265[[#This Row],[Kolumna3]]+Tabela1135297[[#This Row],[Kolumna3]]+Tabela1135329[[#This Row],[Kolumna3]]+Tabela1135374[[#This Row],[Kolumna3]]+Tabela1135419[[#This Row],[Kolumna3]]</f>
        <v>0</v>
      </c>
      <c r="E154" s="20">
        <f t="shared" si="14"/>
        <v>0</v>
      </c>
      <c r="F154" s="53" t="str">
        <f t="shared" si="13"/>
        <v/>
      </c>
      <c r="G154" s="54"/>
      <c r="I154" s="25"/>
      <c r="J154" s="25"/>
    </row>
    <row r="155" spans="2:10" x14ac:dyDescent="0.2">
      <c r="B155" s="22" t="str">
        <f>'Wzorzec kategorii'!B117</f>
        <v>.</v>
      </c>
      <c r="C155" s="47">
        <f>Tabela1135[[#This Row],[Kolumna2]]+Tabela113573[[#This Row],[Kolumna2]]+Tabela1135105[[#This Row],[Kolumna2]]+Tabela1135137[[#This Row],[Kolumna2]]+Tabela1135169[[#This Row],[Kolumna2]]+Tabela1135201[[#This Row],[Kolumna2]]+Tabela1135233[[#This Row],[Kolumna2]]+Tabela1135265[[#This Row],[Kolumna2]]+Tabela1135297[[#This Row],[Kolumna2]]+Tabela1135329[[#This Row],[Kolumna2]]+Tabela1135374[[#This Row],[Kolumna2]]+Tabela1135419[[#This Row],[Kolumna2]]</f>
        <v>0</v>
      </c>
      <c r="D155" s="47">
        <f>Tabela1135[[#This Row],[Kolumna3]]+Tabela113573[[#This Row],[Kolumna3]]+Tabela1135105[[#This Row],[Kolumna3]]+Tabela1135137[[#This Row],[Kolumna3]]+Tabela1135169[[#This Row],[Kolumna3]]+Tabela1135201[[#This Row],[Kolumna3]]+Tabela1135233[[#This Row],[Kolumna3]]+Tabela1135265[[#This Row],[Kolumna3]]+Tabela1135297[[#This Row],[Kolumna3]]+Tabela1135329[[#This Row],[Kolumna3]]+Tabela1135374[[#This Row],[Kolumna3]]+Tabela1135419[[#This Row],[Kolumna3]]</f>
        <v>0</v>
      </c>
      <c r="E155" s="20">
        <f t="shared" si="14"/>
        <v>0</v>
      </c>
      <c r="F155" s="53" t="str">
        <f t="shared" si="13"/>
        <v/>
      </c>
      <c r="G155" s="54"/>
      <c r="I155" s="25"/>
      <c r="J155" s="25"/>
    </row>
    <row r="156" spans="2:10" x14ac:dyDescent="0.2">
      <c r="B156" s="5" t="s">
        <v>30</v>
      </c>
      <c r="I156" s="25"/>
      <c r="J156" s="25"/>
    </row>
    <row r="157" spans="2:10" x14ac:dyDescent="0.2">
      <c r="B157" s="2" t="str">
        <f>'Wzorzec kategorii'!B119</f>
        <v>Dzieci</v>
      </c>
      <c r="C157" s="3">
        <f>SUM(Tabela1236452[[#All],[Kolumna2]])</f>
        <v>0</v>
      </c>
      <c r="D157" s="16">
        <f>SUM(Tabela1236452[[#All],[Kolumna3]])</f>
        <v>0</v>
      </c>
      <c r="E157" s="3">
        <f>C157-D157</f>
        <v>0</v>
      </c>
      <c r="F157" s="17" t="str">
        <f>IFERROR(D157/C157,"")</f>
        <v/>
      </c>
      <c r="G157" s="3"/>
      <c r="I157" s="25"/>
      <c r="J157" s="25"/>
    </row>
    <row r="158" spans="2:10" x14ac:dyDescent="0.2">
      <c r="B158" s="22" t="str">
        <f>'Wzorzec kategorii'!B120</f>
        <v>Artykuły szkolne</v>
      </c>
      <c r="C158" s="47">
        <f>Tabela1236[[#This Row],[Kolumna2]]+Tabela123674[[#This Row],[Kolumna2]]+Tabela1236106[[#This Row],[Kolumna2]]+Tabela1236138[[#This Row],[Kolumna2]]+Tabela1236170[[#This Row],[Kolumna2]]+Tabela1236202[[#This Row],[Kolumna2]]+Tabela1236234[[#This Row],[Kolumna2]]+Tabela1236266[[#This Row],[Kolumna2]]+Tabela1236298[[#This Row],[Kolumna2]]+Tabela1236330[[#This Row],[Kolumna2]]+Tabela1236375[[#This Row],[Kolumna2]]+Tabela1236420[[#This Row],[Kolumna2]]</f>
        <v>0</v>
      </c>
      <c r="D158" s="47">
        <f>Tabela1236[[#This Row],[Kolumna3]]+Tabela123674[[#This Row],[Kolumna3]]+Tabela1236106[[#This Row],[Kolumna3]]+Tabela1236138[[#This Row],[Kolumna3]]+Tabela1236170[[#This Row],[Kolumna3]]+Tabela1236202[[#This Row],[Kolumna3]]+Tabela1236234[[#This Row],[Kolumna3]]+Tabela1236266[[#This Row],[Kolumna3]]+Tabela1236298[[#This Row],[Kolumna3]]+Tabela1236330[[#This Row],[Kolumna3]]+Tabela1236375[[#This Row],[Kolumna3]]+Tabela1236420[[#This Row],[Kolumna3]]</f>
        <v>0</v>
      </c>
      <c r="E158" s="20">
        <f t="shared" ref="E158:E167" si="15">C158-D158</f>
        <v>0</v>
      </c>
      <c r="F158" s="21" t="str">
        <f t="shared" ref="F158:F167" si="16">IFERROR(D158/C158,"")</f>
        <v/>
      </c>
      <c r="G158" s="24"/>
      <c r="I158" s="25"/>
      <c r="J158" s="25"/>
    </row>
    <row r="159" spans="2:10" x14ac:dyDescent="0.2">
      <c r="B159" s="22" t="str">
        <f>'Wzorzec kategorii'!B121</f>
        <v>Dodatkowe zajęcia</v>
      </c>
      <c r="C159" s="47">
        <f>Tabela1236[[#This Row],[Kolumna2]]+Tabela123674[[#This Row],[Kolumna2]]+Tabela1236106[[#This Row],[Kolumna2]]+Tabela1236138[[#This Row],[Kolumna2]]+Tabela1236170[[#This Row],[Kolumna2]]+Tabela1236202[[#This Row],[Kolumna2]]+Tabela1236234[[#This Row],[Kolumna2]]+Tabela1236266[[#This Row],[Kolumna2]]+Tabela1236298[[#This Row],[Kolumna2]]+Tabela1236330[[#This Row],[Kolumna2]]+Tabela1236375[[#This Row],[Kolumna2]]+Tabela1236420[[#This Row],[Kolumna2]]</f>
        <v>0</v>
      </c>
      <c r="D159" s="47">
        <f>Tabela1236[[#This Row],[Kolumna3]]+Tabela123674[[#This Row],[Kolumna3]]+Tabela1236106[[#This Row],[Kolumna3]]+Tabela1236138[[#This Row],[Kolumna3]]+Tabela1236170[[#This Row],[Kolumna3]]+Tabela1236202[[#This Row],[Kolumna3]]+Tabela1236234[[#This Row],[Kolumna3]]+Tabela1236266[[#This Row],[Kolumna3]]+Tabela1236298[[#This Row],[Kolumna3]]+Tabela1236330[[#This Row],[Kolumna3]]+Tabela1236375[[#This Row],[Kolumna3]]+Tabela1236420[[#This Row],[Kolumna3]]</f>
        <v>0</v>
      </c>
      <c r="E159" s="20">
        <f t="shared" si="15"/>
        <v>0</v>
      </c>
      <c r="F159" s="21" t="str">
        <f t="shared" si="16"/>
        <v/>
      </c>
      <c r="G159" s="24"/>
      <c r="I159" s="25"/>
      <c r="J159" s="25"/>
    </row>
    <row r="160" spans="2:10" x14ac:dyDescent="0.2">
      <c r="B160" s="22" t="str">
        <f>'Wzorzec kategorii'!B122</f>
        <v>Wpłaty na szkołę itp.</v>
      </c>
      <c r="C160" s="47">
        <f>Tabela1236[[#This Row],[Kolumna2]]+Tabela123674[[#This Row],[Kolumna2]]+Tabela1236106[[#This Row],[Kolumna2]]+Tabela1236138[[#This Row],[Kolumna2]]+Tabela1236170[[#This Row],[Kolumna2]]+Tabela1236202[[#This Row],[Kolumna2]]+Tabela1236234[[#This Row],[Kolumna2]]+Tabela1236266[[#This Row],[Kolumna2]]+Tabela1236298[[#This Row],[Kolumna2]]+Tabela1236330[[#This Row],[Kolumna2]]+Tabela1236375[[#This Row],[Kolumna2]]+Tabela1236420[[#This Row],[Kolumna2]]</f>
        <v>0</v>
      </c>
      <c r="D160" s="47">
        <f>Tabela1236[[#This Row],[Kolumna3]]+Tabela123674[[#This Row],[Kolumna3]]+Tabela1236106[[#This Row],[Kolumna3]]+Tabela1236138[[#This Row],[Kolumna3]]+Tabela1236170[[#This Row],[Kolumna3]]+Tabela1236202[[#This Row],[Kolumna3]]+Tabela1236234[[#This Row],[Kolumna3]]+Tabela1236266[[#This Row],[Kolumna3]]+Tabela1236298[[#This Row],[Kolumna3]]+Tabela1236330[[#This Row],[Kolumna3]]+Tabela1236375[[#This Row],[Kolumna3]]+Tabela1236420[[#This Row],[Kolumna3]]</f>
        <v>0</v>
      </c>
      <c r="E160" s="20">
        <f t="shared" si="15"/>
        <v>0</v>
      </c>
      <c r="F160" s="21" t="str">
        <f t="shared" si="16"/>
        <v/>
      </c>
      <c r="G160" s="24"/>
      <c r="I160" s="25"/>
      <c r="J160" s="25"/>
    </row>
    <row r="161" spans="2:10" x14ac:dyDescent="0.2">
      <c r="B161" s="22" t="str">
        <f>'Wzorzec kategorii'!B123</f>
        <v>Zabawki / gry</v>
      </c>
      <c r="C161" s="47">
        <f>Tabela1236[[#This Row],[Kolumna2]]+Tabela123674[[#This Row],[Kolumna2]]+Tabela1236106[[#This Row],[Kolumna2]]+Tabela1236138[[#This Row],[Kolumna2]]+Tabela1236170[[#This Row],[Kolumna2]]+Tabela1236202[[#This Row],[Kolumna2]]+Tabela1236234[[#This Row],[Kolumna2]]+Tabela1236266[[#This Row],[Kolumna2]]+Tabela1236298[[#This Row],[Kolumna2]]+Tabela1236330[[#This Row],[Kolumna2]]+Tabela1236375[[#This Row],[Kolumna2]]+Tabela1236420[[#This Row],[Kolumna2]]</f>
        <v>0</v>
      </c>
      <c r="D161" s="47">
        <f>Tabela1236[[#This Row],[Kolumna3]]+Tabela123674[[#This Row],[Kolumna3]]+Tabela1236106[[#This Row],[Kolumna3]]+Tabela1236138[[#This Row],[Kolumna3]]+Tabela1236170[[#This Row],[Kolumna3]]+Tabela1236202[[#This Row],[Kolumna3]]+Tabela1236234[[#This Row],[Kolumna3]]+Tabela1236266[[#This Row],[Kolumna3]]+Tabela1236298[[#This Row],[Kolumna3]]+Tabela1236330[[#This Row],[Kolumna3]]+Tabela1236375[[#This Row],[Kolumna3]]+Tabela1236420[[#This Row],[Kolumna3]]</f>
        <v>0</v>
      </c>
      <c r="E161" s="20">
        <f t="shared" si="15"/>
        <v>0</v>
      </c>
      <c r="F161" s="21" t="str">
        <f t="shared" si="16"/>
        <v/>
      </c>
      <c r="G161" s="24"/>
      <c r="I161" s="25"/>
      <c r="J161" s="25"/>
    </row>
    <row r="162" spans="2:10" x14ac:dyDescent="0.2">
      <c r="B162" s="22" t="str">
        <f>'Wzorzec kategorii'!B124</f>
        <v>Opieka nad dziećmi</v>
      </c>
      <c r="C162" s="47">
        <f>Tabela1236[[#This Row],[Kolumna2]]+Tabela123674[[#This Row],[Kolumna2]]+Tabela1236106[[#This Row],[Kolumna2]]+Tabela1236138[[#This Row],[Kolumna2]]+Tabela1236170[[#This Row],[Kolumna2]]+Tabela1236202[[#This Row],[Kolumna2]]+Tabela1236234[[#This Row],[Kolumna2]]+Tabela1236266[[#This Row],[Kolumna2]]+Tabela1236298[[#This Row],[Kolumna2]]+Tabela1236330[[#This Row],[Kolumna2]]+Tabela1236375[[#This Row],[Kolumna2]]+Tabela1236420[[#This Row],[Kolumna2]]</f>
        <v>0</v>
      </c>
      <c r="D162" s="47">
        <f>Tabela1236[[#This Row],[Kolumna3]]+Tabela123674[[#This Row],[Kolumna3]]+Tabela1236106[[#This Row],[Kolumna3]]+Tabela1236138[[#This Row],[Kolumna3]]+Tabela1236170[[#This Row],[Kolumna3]]+Tabela1236202[[#This Row],[Kolumna3]]+Tabela1236234[[#This Row],[Kolumna3]]+Tabela1236266[[#This Row],[Kolumna3]]+Tabela1236298[[#This Row],[Kolumna3]]+Tabela1236330[[#This Row],[Kolumna3]]+Tabela1236375[[#This Row],[Kolumna3]]+Tabela1236420[[#This Row],[Kolumna3]]</f>
        <v>0</v>
      </c>
      <c r="E162" s="20">
        <f t="shared" si="15"/>
        <v>0</v>
      </c>
      <c r="F162" s="21" t="str">
        <f t="shared" si="16"/>
        <v/>
      </c>
      <c r="G162" s="24"/>
      <c r="I162" s="25"/>
      <c r="J162" s="25"/>
    </row>
    <row r="163" spans="2:10" x14ac:dyDescent="0.2">
      <c r="B163" s="22" t="str">
        <f>'Wzorzec kategorii'!B125</f>
        <v>Inne</v>
      </c>
      <c r="C163" s="47">
        <f>Tabela1236[[#This Row],[Kolumna2]]+Tabela123674[[#This Row],[Kolumna2]]+Tabela1236106[[#This Row],[Kolumna2]]+Tabela1236138[[#This Row],[Kolumna2]]+Tabela1236170[[#This Row],[Kolumna2]]+Tabela1236202[[#This Row],[Kolumna2]]+Tabela1236234[[#This Row],[Kolumna2]]+Tabela1236266[[#This Row],[Kolumna2]]+Tabela1236298[[#This Row],[Kolumna2]]+Tabela1236330[[#This Row],[Kolumna2]]+Tabela1236375[[#This Row],[Kolumna2]]+Tabela1236420[[#This Row],[Kolumna2]]</f>
        <v>0</v>
      </c>
      <c r="D163" s="47">
        <f>Tabela1236[[#This Row],[Kolumna3]]+Tabela123674[[#This Row],[Kolumna3]]+Tabela1236106[[#This Row],[Kolumna3]]+Tabela1236138[[#This Row],[Kolumna3]]+Tabela1236170[[#This Row],[Kolumna3]]+Tabela1236202[[#This Row],[Kolumna3]]+Tabela1236234[[#This Row],[Kolumna3]]+Tabela1236266[[#This Row],[Kolumna3]]+Tabela1236298[[#This Row],[Kolumna3]]+Tabela1236330[[#This Row],[Kolumna3]]+Tabela1236375[[#This Row],[Kolumna3]]+Tabela1236420[[#This Row],[Kolumna3]]</f>
        <v>0</v>
      </c>
      <c r="E163" s="20">
        <f t="shared" si="15"/>
        <v>0</v>
      </c>
      <c r="F163" s="21" t="str">
        <f t="shared" si="16"/>
        <v/>
      </c>
      <c r="G163" s="24"/>
      <c r="I163" s="25"/>
      <c r="J163" s="25"/>
    </row>
    <row r="164" spans="2:10" x14ac:dyDescent="0.2">
      <c r="B164" s="51" t="str">
        <f>'Wzorzec kategorii'!B126</f>
        <v>.</v>
      </c>
      <c r="C164" s="47">
        <f>Tabela1236[[#This Row],[Kolumna2]]+Tabela123674[[#This Row],[Kolumna2]]+Tabela1236106[[#This Row],[Kolumna2]]+Tabela1236138[[#This Row],[Kolumna2]]+Tabela1236170[[#This Row],[Kolumna2]]+Tabela1236202[[#This Row],[Kolumna2]]+Tabela1236234[[#This Row],[Kolumna2]]+Tabela1236266[[#This Row],[Kolumna2]]+Tabela1236298[[#This Row],[Kolumna2]]+Tabela1236330[[#This Row],[Kolumna2]]+Tabela1236375[[#This Row],[Kolumna2]]+Tabela1236420[[#This Row],[Kolumna2]]</f>
        <v>0</v>
      </c>
      <c r="D164" s="47">
        <f>Tabela1236[[#This Row],[Kolumna3]]+Tabela123674[[#This Row],[Kolumna3]]+Tabela1236106[[#This Row],[Kolumna3]]+Tabela1236138[[#This Row],[Kolumna3]]+Tabela1236170[[#This Row],[Kolumna3]]+Tabela1236202[[#This Row],[Kolumna3]]+Tabela1236234[[#This Row],[Kolumna3]]+Tabela1236266[[#This Row],[Kolumna3]]+Tabela1236298[[#This Row],[Kolumna3]]+Tabela1236330[[#This Row],[Kolumna3]]+Tabela1236375[[#This Row],[Kolumna3]]+Tabela1236420[[#This Row],[Kolumna3]]</f>
        <v>0</v>
      </c>
      <c r="E164" s="20">
        <f t="shared" si="15"/>
        <v>0</v>
      </c>
      <c r="F164" s="53" t="str">
        <f t="shared" si="16"/>
        <v/>
      </c>
      <c r="G164" s="24"/>
      <c r="I164" s="25"/>
      <c r="J164" s="25"/>
    </row>
    <row r="165" spans="2:10" x14ac:dyDescent="0.2">
      <c r="B165" s="51" t="str">
        <f>'Wzorzec kategorii'!B127</f>
        <v>.</v>
      </c>
      <c r="C165" s="47">
        <f>Tabela1236[[#This Row],[Kolumna2]]+Tabela123674[[#This Row],[Kolumna2]]+Tabela1236106[[#This Row],[Kolumna2]]+Tabela1236138[[#This Row],[Kolumna2]]+Tabela1236170[[#This Row],[Kolumna2]]+Tabela1236202[[#This Row],[Kolumna2]]+Tabela1236234[[#This Row],[Kolumna2]]+Tabela1236266[[#This Row],[Kolumna2]]+Tabela1236298[[#This Row],[Kolumna2]]+Tabela1236330[[#This Row],[Kolumna2]]+Tabela1236375[[#This Row],[Kolumna2]]+Tabela1236420[[#This Row],[Kolumna2]]</f>
        <v>0</v>
      </c>
      <c r="D165" s="47">
        <f>Tabela1236[[#This Row],[Kolumna3]]+Tabela123674[[#This Row],[Kolumna3]]+Tabela1236106[[#This Row],[Kolumna3]]+Tabela1236138[[#This Row],[Kolumna3]]+Tabela1236170[[#This Row],[Kolumna3]]+Tabela1236202[[#This Row],[Kolumna3]]+Tabela1236234[[#This Row],[Kolumna3]]+Tabela1236266[[#This Row],[Kolumna3]]+Tabela1236298[[#This Row],[Kolumna3]]+Tabela1236330[[#This Row],[Kolumna3]]+Tabela1236375[[#This Row],[Kolumna3]]+Tabela1236420[[#This Row],[Kolumna3]]</f>
        <v>0</v>
      </c>
      <c r="E165" s="20">
        <f t="shared" si="15"/>
        <v>0</v>
      </c>
      <c r="F165" s="53" t="str">
        <f t="shared" si="16"/>
        <v/>
      </c>
      <c r="G165" s="24"/>
      <c r="I165" s="25"/>
      <c r="J165" s="25"/>
    </row>
    <row r="166" spans="2:10" x14ac:dyDescent="0.2">
      <c r="B166" s="51" t="str">
        <f>'Wzorzec kategorii'!B128</f>
        <v>.</v>
      </c>
      <c r="C166" s="47">
        <f>Tabela1236[[#This Row],[Kolumna2]]+Tabela123674[[#This Row],[Kolumna2]]+Tabela1236106[[#This Row],[Kolumna2]]+Tabela1236138[[#This Row],[Kolumna2]]+Tabela1236170[[#This Row],[Kolumna2]]+Tabela1236202[[#This Row],[Kolumna2]]+Tabela1236234[[#This Row],[Kolumna2]]+Tabela1236266[[#This Row],[Kolumna2]]+Tabela1236298[[#This Row],[Kolumna2]]+Tabela1236330[[#This Row],[Kolumna2]]+Tabela1236375[[#This Row],[Kolumna2]]+Tabela1236420[[#This Row],[Kolumna2]]</f>
        <v>0</v>
      </c>
      <c r="D166" s="47">
        <f>Tabela1236[[#This Row],[Kolumna3]]+Tabela123674[[#This Row],[Kolumna3]]+Tabela1236106[[#This Row],[Kolumna3]]+Tabela1236138[[#This Row],[Kolumna3]]+Tabela1236170[[#This Row],[Kolumna3]]+Tabela1236202[[#This Row],[Kolumna3]]+Tabela1236234[[#This Row],[Kolumna3]]+Tabela1236266[[#This Row],[Kolumna3]]+Tabela1236298[[#This Row],[Kolumna3]]+Tabela1236330[[#This Row],[Kolumna3]]+Tabela1236375[[#This Row],[Kolumna3]]+Tabela1236420[[#This Row],[Kolumna3]]</f>
        <v>0</v>
      </c>
      <c r="E166" s="20">
        <f t="shared" si="15"/>
        <v>0</v>
      </c>
      <c r="F166" s="53" t="str">
        <f t="shared" si="16"/>
        <v/>
      </c>
      <c r="G166" s="24"/>
      <c r="I166" s="25"/>
      <c r="J166" s="25"/>
    </row>
    <row r="167" spans="2:10" x14ac:dyDescent="0.2">
      <c r="B167" s="51" t="str">
        <f>'Wzorzec kategorii'!B129</f>
        <v>.</v>
      </c>
      <c r="C167" s="47">
        <f>Tabela1236[[#This Row],[Kolumna2]]+Tabela123674[[#This Row],[Kolumna2]]+Tabela1236106[[#This Row],[Kolumna2]]+Tabela1236138[[#This Row],[Kolumna2]]+Tabela1236170[[#This Row],[Kolumna2]]+Tabela1236202[[#This Row],[Kolumna2]]+Tabela1236234[[#This Row],[Kolumna2]]+Tabela1236266[[#This Row],[Kolumna2]]+Tabela1236298[[#This Row],[Kolumna2]]+Tabela1236330[[#This Row],[Kolumna2]]+Tabela1236375[[#This Row],[Kolumna2]]+Tabela1236420[[#This Row],[Kolumna2]]</f>
        <v>0</v>
      </c>
      <c r="D167" s="47">
        <f>Tabela1236[[#This Row],[Kolumna3]]+Tabela123674[[#This Row],[Kolumna3]]+Tabela1236106[[#This Row],[Kolumna3]]+Tabela1236138[[#This Row],[Kolumna3]]+Tabela1236170[[#This Row],[Kolumna3]]+Tabela1236202[[#This Row],[Kolumna3]]+Tabela1236234[[#This Row],[Kolumna3]]+Tabela1236266[[#This Row],[Kolumna3]]+Tabela1236298[[#This Row],[Kolumna3]]+Tabela1236330[[#This Row],[Kolumna3]]+Tabela1236375[[#This Row],[Kolumna3]]+Tabela1236420[[#This Row],[Kolumna3]]</f>
        <v>0</v>
      </c>
      <c r="E167" s="20">
        <f t="shared" si="15"/>
        <v>0</v>
      </c>
      <c r="F167" s="53" t="str">
        <f t="shared" si="16"/>
        <v/>
      </c>
      <c r="G167" s="24"/>
      <c r="I167" s="25"/>
      <c r="J167" s="25"/>
    </row>
    <row r="168" spans="2:10" x14ac:dyDescent="0.2">
      <c r="B168" s="5" t="s">
        <v>30</v>
      </c>
      <c r="I168" s="25"/>
      <c r="J168" s="25"/>
    </row>
    <row r="169" spans="2:10" x14ac:dyDescent="0.2">
      <c r="B169" s="2" t="str">
        <f>'Wzorzec kategorii'!B131</f>
        <v>Rozrywka</v>
      </c>
      <c r="C169" s="3">
        <f>SUM(Tabela1337453[[#All],[Kolumna2]])</f>
        <v>0</v>
      </c>
      <c r="D169" s="16">
        <f>SUM(Tabela1337453[[#All],[Kolumna3]])</f>
        <v>0</v>
      </c>
      <c r="E169" s="3">
        <f>C169-D169</f>
        <v>0</v>
      </c>
      <c r="F169" s="17" t="str">
        <f>IFERROR(D169/C169,"")</f>
        <v/>
      </c>
      <c r="G169" s="3"/>
      <c r="I169" s="25"/>
      <c r="J169" s="25"/>
    </row>
    <row r="170" spans="2:10" x14ac:dyDescent="0.2">
      <c r="B170" s="22" t="str">
        <f>'Wzorzec kategorii'!B132</f>
        <v>Siłownia / Basen</v>
      </c>
      <c r="C170" s="47">
        <f>Tabela1337[[#This Row],[Kolumna2]]+Tabela133775[[#This Row],[Kolumna2]]+Tabela1337107[[#This Row],[Kolumna2]]+Tabela1337139[[#This Row],[Kolumna2]]+Tabela1337171[[#This Row],[Kolumna2]]+Tabela1337203[[#This Row],[Kolumna2]]+Tabela1337235[[#This Row],[Kolumna2]]+Tabela1337267[[#This Row],[Kolumna2]]+Tabela1337299[[#This Row],[Kolumna2]]+Tabela1337331[[#This Row],[Kolumna2]]+Tabela1337376[[#This Row],[Kolumna2]]+Tabela1337421[[#This Row],[Kolumna2]]</f>
        <v>0</v>
      </c>
      <c r="D170" s="47">
        <f>Tabela1337[[#This Row],[Kolumna3]]+Tabela133775[[#This Row],[Kolumna3]]+Tabela1337107[[#This Row],[Kolumna3]]+Tabela1337139[[#This Row],[Kolumna3]]+Tabela1337171[[#This Row],[Kolumna3]]+Tabela1337203[[#This Row],[Kolumna3]]+Tabela1337235[[#This Row],[Kolumna3]]+Tabela1337267[[#This Row],[Kolumna3]]+Tabela1337299[[#This Row],[Kolumna3]]+Tabela1337331[[#This Row],[Kolumna3]]+Tabela1337376[[#This Row],[Kolumna3]]+Tabela1337421[[#This Row],[Kolumna3]]</f>
        <v>0</v>
      </c>
      <c r="E170" s="20">
        <f t="shared" ref="E170:E179" si="17">C170-D170</f>
        <v>0</v>
      </c>
      <c r="F170" s="21" t="str">
        <f t="shared" ref="F170:F179" si="18">IFERROR(D170/C170,"")</f>
        <v/>
      </c>
      <c r="G170" s="24"/>
      <c r="I170" s="25"/>
      <c r="J170" s="25"/>
    </row>
    <row r="171" spans="2:10" x14ac:dyDescent="0.2">
      <c r="B171" s="22" t="str">
        <f>'Wzorzec kategorii'!B133</f>
        <v>Kino / Teatr</v>
      </c>
      <c r="C171" s="47">
        <f>Tabela1337[[#This Row],[Kolumna2]]+Tabela133775[[#This Row],[Kolumna2]]+Tabela1337107[[#This Row],[Kolumna2]]+Tabela1337139[[#This Row],[Kolumna2]]+Tabela1337171[[#This Row],[Kolumna2]]+Tabela1337203[[#This Row],[Kolumna2]]+Tabela1337235[[#This Row],[Kolumna2]]+Tabela1337267[[#This Row],[Kolumna2]]+Tabela1337299[[#This Row],[Kolumna2]]+Tabela1337331[[#This Row],[Kolumna2]]+Tabela1337376[[#This Row],[Kolumna2]]+Tabela1337421[[#This Row],[Kolumna2]]</f>
        <v>0</v>
      </c>
      <c r="D171" s="47">
        <f>Tabela1337[[#This Row],[Kolumna3]]+Tabela133775[[#This Row],[Kolumna3]]+Tabela1337107[[#This Row],[Kolumna3]]+Tabela1337139[[#This Row],[Kolumna3]]+Tabela1337171[[#This Row],[Kolumna3]]+Tabela1337203[[#This Row],[Kolumna3]]+Tabela1337235[[#This Row],[Kolumna3]]+Tabela1337267[[#This Row],[Kolumna3]]+Tabela1337299[[#This Row],[Kolumna3]]+Tabela1337331[[#This Row],[Kolumna3]]+Tabela1337376[[#This Row],[Kolumna3]]+Tabela1337421[[#This Row],[Kolumna3]]</f>
        <v>0</v>
      </c>
      <c r="E171" s="20">
        <f t="shared" si="17"/>
        <v>0</v>
      </c>
      <c r="F171" s="21" t="str">
        <f t="shared" si="18"/>
        <v/>
      </c>
      <c r="G171" s="24"/>
      <c r="I171" s="25"/>
      <c r="J171" s="25"/>
    </row>
    <row r="172" spans="2:10" x14ac:dyDescent="0.2">
      <c r="B172" s="22" t="str">
        <f>'Wzorzec kategorii'!B134</f>
        <v>Koncerty</v>
      </c>
      <c r="C172" s="47">
        <f>Tabela1337[[#This Row],[Kolumna2]]+Tabela133775[[#This Row],[Kolumna2]]+Tabela1337107[[#This Row],[Kolumna2]]+Tabela1337139[[#This Row],[Kolumna2]]+Tabela1337171[[#This Row],[Kolumna2]]+Tabela1337203[[#This Row],[Kolumna2]]+Tabela1337235[[#This Row],[Kolumna2]]+Tabela1337267[[#This Row],[Kolumna2]]+Tabela1337299[[#This Row],[Kolumna2]]+Tabela1337331[[#This Row],[Kolumna2]]+Tabela1337376[[#This Row],[Kolumna2]]+Tabela1337421[[#This Row],[Kolumna2]]</f>
        <v>0</v>
      </c>
      <c r="D172" s="47">
        <f>Tabela1337[[#This Row],[Kolumna3]]+Tabela133775[[#This Row],[Kolumna3]]+Tabela1337107[[#This Row],[Kolumna3]]+Tabela1337139[[#This Row],[Kolumna3]]+Tabela1337171[[#This Row],[Kolumna3]]+Tabela1337203[[#This Row],[Kolumna3]]+Tabela1337235[[#This Row],[Kolumna3]]+Tabela1337267[[#This Row],[Kolumna3]]+Tabela1337299[[#This Row],[Kolumna3]]+Tabela1337331[[#This Row],[Kolumna3]]+Tabela1337376[[#This Row],[Kolumna3]]+Tabela1337421[[#This Row],[Kolumna3]]</f>
        <v>0</v>
      </c>
      <c r="E172" s="20">
        <f t="shared" si="17"/>
        <v>0</v>
      </c>
      <c r="F172" s="21" t="str">
        <f t="shared" si="18"/>
        <v/>
      </c>
      <c r="G172" s="24"/>
      <c r="I172" s="25"/>
      <c r="J172" s="25"/>
    </row>
    <row r="173" spans="2:10" x14ac:dyDescent="0.2">
      <c r="B173" s="22" t="str">
        <f>'Wzorzec kategorii'!B135</f>
        <v>Czasopisma</v>
      </c>
      <c r="C173" s="47">
        <f>Tabela1337[[#This Row],[Kolumna2]]+Tabela133775[[#This Row],[Kolumna2]]+Tabela1337107[[#This Row],[Kolumna2]]+Tabela1337139[[#This Row],[Kolumna2]]+Tabela1337171[[#This Row],[Kolumna2]]+Tabela1337203[[#This Row],[Kolumna2]]+Tabela1337235[[#This Row],[Kolumna2]]+Tabela1337267[[#This Row],[Kolumna2]]+Tabela1337299[[#This Row],[Kolumna2]]+Tabela1337331[[#This Row],[Kolumna2]]+Tabela1337376[[#This Row],[Kolumna2]]+Tabela1337421[[#This Row],[Kolumna2]]</f>
        <v>0</v>
      </c>
      <c r="D173" s="47">
        <f>Tabela1337[[#This Row],[Kolumna3]]+Tabela133775[[#This Row],[Kolumna3]]+Tabela1337107[[#This Row],[Kolumna3]]+Tabela1337139[[#This Row],[Kolumna3]]+Tabela1337171[[#This Row],[Kolumna3]]+Tabela1337203[[#This Row],[Kolumna3]]+Tabela1337235[[#This Row],[Kolumna3]]+Tabela1337267[[#This Row],[Kolumna3]]+Tabela1337299[[#This Row],[Kolumna3]]+Tabela1337331[[#This Row],[Kolumna3]]+Tabela1337376[[#This Row],[Kolumna3]]+Tabela1337421[[#This Row],[Kolumna3]]</f>
        <v>0</v>
      </c>
      <c r="E173" s="20">
        <f t="shared" si="17"/>
        <v>0</v>
      </c>
      <c r="F173" s="21" t="str">
        <f t="shared" si="18"/>
        <v/>
      </c>
      <c r="G173" s="24"/>
      <c r="I173" s="25"/>
      <c r="J173" s="25"/>
    </row>
    <row r="174" spans="2:10" x14ac:dyDescent="0.2">
      <c r="B174" s="22" t="str">
        <f>'Wzorzec kategorii'!B136</f>
        <v>Książki</v>
      </c>
      <c r="C174" s="47">
        <f>Tabela1337[[#This Row],[Kolumna2]]+Tabela133775[[#This Row],[Kolumna2]]+Tabela1337107[[#This Row],[Kolumna2]]+Tabela1337139[[#This Row],[Kolumna2]]+Tabela1337171[[#This Row],[Kolumna2]]+Tabela1337203[[#This Row],[Kolumna2]]+Tabela1337235[[#This Row],[Kolumna2]]+Tabela1337267[[#This Row],[Kolumna2]]+Tabela1337299[[#This Row],[Kolumna2]]+Tabela1337331[[#This Row],[Kolumna2]]+Tabela1337376[[#This Row],[Kolumna2]]+Tabela1337421[[#This Row],[Kolumna2]]</f>
        <v>0</v>
      </c>
      <c r="D174" s="47">
        <f>Tabela1337[[#This Row],[Kolumna3]]+Tabela133775[[#This Row],[Kolumna3]]+Tabela1337107[[#This Row],[Kolumna3]]+Tabela1337139[[#This Row],[Kolumna3]]+Tabela1337171[[#This Row],[Kolumna3]]+Tabela1337203[[#This Row],[Kolumna3]]+Tabela1337235[[#This Row],[Kolumna3]]+Tabela1337267[[#This Row],[Kolumna3]]+Tabela1337299[[#This Row],[Kolumna3]]+Tabela1337331[[#This Row],[Kolumna3]]+Tabela1337376[[#This Row],[Kolumna3]]+Tabela1337421[[#This Row],[Kolumna3]]</f>
        <v>0</v>
      </c>
      <c r="E174" s="20">
        <f t="shared" si="17"/>
        <v>0</v>
      </c>
      <c r="F174" s="21" t="str">
        <f t="shared" si="18"/>
        <v/>
      </c>
      <c r="G174" s="24"/>
      <c r="I174" s="25"/>
      <c r="J174" s="25"/>
    </row>
    <row r="175" spans="2:10" x14ac:dyDescent="0.2">
      <c r="B175" s="22" t="str">
        <f>'Wzorzec kategorii'!B137</f>
        <v>Hobby</v>
      </c>
      <c r="C175" s="47">
        <f>Tabela1337[[#This Row],[Kolumna2]]+Tabela133775[[#This Row],[Kolumna2]]+Tabela1337107[[#This Row],[Kolumna2]]+Tabela1337139[[#This Row],[Kolumna2]]+Tabela1337171[[#This Row],[Kolumna2]]+Tabela1337203[[#This Row],[Kolumna2]]+Tabela1337235[[#This Row],[Kolumna2]]+Tabela1337267[[#This Row],[Kolumna2]]+Tabela1337299[[#This Row],[Kolumna2]]+Tabela1337331[[#This Row],[Kolumna2]]+Tabela1337376[[#This Row],[Kolumna2]]+Tabela1337421[[#This Row],[Kolumna2]]</f>
        <v>0</v>
      </c>
      <c r="D175" s="47">
        <f>Tabela1337[[#This Row],[Kolumna3]]+Tabela133775[[#This Row],[Kolumna3]]+Tabela1337107[[#This Row],[Kolumna3]]+Tabela1337139[[#This Row],[Kolumna3]]+Tabela1337171[[#This Row],[Kolumna3]]+Tabela1337203[[#This Row],[Kolumna3]]+Tabela1337235[[#This Row],[Kolumna3]]+Tabela1337267[[#This Row],[Kolumna3]]+Tabela1337299[[#This Row],[Kolumna3]]+Tabela1337331[[#This Row],[Kolumna3]]+Tabela1337376[[#This Row],[Kolumna3]]+Tabela1337421[[#This Row],[Kolumna3]]</f>
        <v>0</v>
      </c>
      <c r="E175" s="20">
        <f t="shared" si="17"/>
        <v>0</v>
      </c>
      <c r="F175" s="21" t="str">
        <f t="shared" si="18"/>
        <v/>
      </c>
      <c r="G175" s="24"/>
      <c r="I175" s="25"/>
      <c r="J175" s="25"/>
    </row>
    <row r="176" spans="2:10" x14ac:dyDescent="0.2">
      <c r="B176" s="22" t="str">
        <f>'Wzorzec kategorii'!B138</f>
        <v>Hotel / Turystyka</v>
      </c>
      <c r="C176" s="47">
        <f>Tabela1337[[#This Row],[Kolumna2]]+Tabela133775[[#This Row],[Kolumna2]]+Tabela1337107[[#This Row],[Kolumna2]]+Tabela1337139[[#This Row],[Kolumna2]]+Tabela1337171[[#This Row],[Kolumna2]]+Tabela1337203[[#This Row],[Kolumna2]]+Tabela1337235[[#This Row],[Kolumna2]]+Tabela1337267[[#This Row],[Kolumna2]]+Tabela1337299[[#This Row],[Kolumna2]]+Tabela1337331[[#This Row],[Kolumna2]]+Tabela1337376[[#This Row],[Kolumna2]]+Tabela1337421[[#This Row],[Kolumna2]]</f>
        <v>0</v>
      </c>
      <c r="D176" s="47">
        <f>Tabela1337[[#This Row],[Kolumna3]]+Tabela133775[[#This Row],[Kolumna3]]+Tabela1337107[[#This Row],[Kolumna3]]+Tabela1337139[[#This Row],[Kolumna3]]+Tabela1337171[[#This Row],[Kolumna3]]+Tabela1337203[[#This Row],[Kolumna3]]+Tabela1337235[[#This Row],[Kolumna3]]+Tabela1337267[[#This Row],[Kolumna3]]+Tabela1337299[[#This Row],[Kolumna3]]+Tabela1337331[[#This Row],[Kolumna3]]+Tabela1337376[[#This Row],[Kolumna3]]+Tabela1337421[[#This Row],[Kolumna3]]</f>
        <v>0</v>
      </c>
      <c r="E176" s="20">
        <f t="shared" si="17"/>
        <v>0</v>
      </c>
      <c r="F176" s="21" t="str">
        <f t="shared" si="18"/>
        <v/>
      </c>
      <c r="G176" s="24"/>
      <c r="I176" s="25"/>
      <c r="J176" s="25"/>
    </row>
    <row r="177" spans="2:10" x14ac:dyDescent="0.2">
      <c r="B177" s="22" t="str">
        <f>'Wzorzec kategorii'!B139</f>
        <v>Inne</v>
      </c>
      <c r="C177" s="47">
        <f>Tabela1337[[#This Row],[Kolumna2]]+Tabela133775[[#This Row],[Kolumna2]]+Tabela1337107[[#This Row],[Kolumna2]]+Tabela1337139[[#This Row],[Kolumna2]]+Tabela1337171[[#This Row],[Kolumna2]]+Tabela1337203[[#This Row],[Kolumna2]]+Tabela1337235[[#This Row],[Kolumna2]]+Tabela1337267[[#This Row],[Kolumna2]]+Tabela1337299[[#This Row],[Kolumna2]]+Tabela1337331[[#This Row],[Kolumna2]]+Tabela1337376[[#This Row],[Kolumna2]]+Tabela1337421[[#This Row],[Kolumna2]]</f>
        <v>0</v>
      </c>
      <c r="D177" s="47">
        <f>Tabela1337[[#This Row],[Kolumna3]]+Tabela133775[[#This Row],[Kolumna3]]+Tabela1337107[[#This Row],[Kolumna3]]+Tabela1337139[[#This Row],[Kolumna3]]+Tabela1337171[[#This Row],[Kolumna3]]+Tabela1337203[[#This Row],[Kolumna3]]+Tabela1337235[[#This Row],[Kolumna3]]+Tabela1337267[[#This Row],[Kolumna3]]+Tabela1337299[[#This Row],[Kolumna3]]+Tabela1337331[[#This Row],[Kolumna3]]+Tabela1337376[[#This Row],[Kolumna3]]+Tabela1337421[[#This Row],[Kolumna3]]</f>
        <v>0</v>
      </c>
      <c r="E177" s="20">
        <f t="shared" si="17"/>
        <v>0</v>
      </c>
      <c r="F177" s="21" t="str">
        <f t="shared" si="18"/>
        <v/>
      </c>
      <c r="G177" s="24"/>
      <c r="I177" s="25"/>
      <c r="J177" s="25"/>
    </row>
    <row r="178" spans="2:10" x14ac:dyDescent="0.2">
      <c r="B178" s="22" t="str">
        <f>'Wzorzec kategorii'!B140</f>
        <v>.</v>
      </c>
      <c r="C178" s="47">
        <f>Tabela1337[[#This Row],[Kolumna2]]+Tabela133775[[#This Row],[Kolumna2]]+Tabela1337107[[#This Row],[Kolumna2]]+Tabela1337139[[#This Row],[Kolumna2]]+Tabela1337171[[#This Row],[Kolumna2]]+Tabela1337203[[#This Row],[Kolumna2]]+Tabela1337235[[#This Row],[Kolumna2]]+Tabela1337267[[#This Row],[Kolumna2]]+Tabela1337299[[#This Row],[Kolumna2]]+Tabela1337331[[#This Row],[Kolumna2]]+Tabela1337376[[#This Row],[Kolumna2]]+Tabela1337421[[#This Row],[Kolumna2]]</f>
        <v>0</v>
      </c>
      <c r="D178" s="47">
        <f>Tabela1337[[#This Row],[Kolumna3]]+Tabela133775[[#This Row],[Kolumna3]]+Tabela1337107[[#This Row],[Kolumna3]]+Tabela1337139[[#This Row],[Kolumna3]]+Tabela1337171[[#This Row],[Kolumna3]]+Tabela1337203[[#This Row],[Kolumna3]]+Tabela1337235[[#This Row],[Kolumna3]]+Tabela1337267[[#This Row],[Kolumna3]]+Tabela1337299[[#This Row],[Kolumna3]]+Tabela1337331[[#This Row],[Kolumna3]]+Tabela1337376[[#This Row],[Kolumna3]]+Tabela1337421[[#This Row],[Kolumna3]]</f>
        <v>0</v>
      </c>
      <c r="E178" s="20">
        <f t="shared" si="17"/>
        <v>0</v>
      </c>
      <c r="F178" s="53" t="str">
        <f t="shared" si="18"/>
        <v/>
      </c>
      <c r="G178" s="54"/>
      <c r="I178" s="25"/>
      <c r="J178" s="25"/>
    </row>
    <row r="179" spans="2:10" x14ac:dyDescent="0.2">
      <c r="B179" s="22" t="str">
        <f>'Wzorzec kategorii'!B141</f>
        <v>.</v>
      </c>
      <c r="C179" s="47">
        <f>Tabela1337[[#This Row],[Kolumna2]]+Tabela133775[[#This Row],[Kolumna2]]+Tabela1337107[[#This Row],[Kolumna2]]+Tabela1337139[[#This Row],[Kolumna2]]+Tabela1337171[[#This Row],[Kolumna2]]+Tabela1337203[[#This Row],[Kolumna2]]+Tabela1337235[[#This Row],[Kolumna2]]+Tabela1337267[[#This Row],[Kolumna2]]+Tabela1337299[[#This Row],[Kolumna2]]+Tabela1337331[[#This Row],[Kolumna2]]+Tabela1337376[[#This Row],[Kolumna2]]+Tabela1337421[[#This Row],[Kolumna2]]</f>
        <v>0</v>
      </c>
      <c r="D179" s="47">
        <f>Tabela1337[[#This Row],[Kolumna3]]+Tabela133775[[#This Row],[Kolumna3]]+Tabela1337107[[#This Row],[Kolumna3]]+Tabela1337139[[#This Row],[Kolumna3]]+Tabela1337171[[#This Row],[Kolumna3]]+Tabela1337203[[#This Row],[Kolumna3]]+Tabela1337235[[#This Row],[Kolumna3]]+Tabela1337267[[#This Row],[Kolumna3]]+Tabela1337299[[#This Row],[Kolumna3]]+Tabela1337331[[#This Row],[Kolumna3]]+Tabela1337376[[#This Row],[Kolumna3]]+Tabela1337421[[#This Row],[Kolumna3]]</f>
        <v>0</v>
      </c>
      <c r="E179" s="20">
        <f t="shared" si="17"/>
        <v>0</v>
      </c>
      <c r="F179" s="53" t="str">
        <f t="shared" si="18"/>
        <v/>
      </c>
      <c r="G179" s="54"/>
      <c r="I179" s="25"/>
      <c r="J179" s="25"/>
    </row>
    <row r="180" spans="2:10" x14ac:dyDescent="0.2">
      <c r="B180" s="5" t="s">
        <v>30</v>
      </c>
      <c r="I180" s="25"/>
      <c r="J180" s="25"/>
    </row>
    <row r="181" spans="2:10" x14ac:dyDescent="0.2">
      <c r="B181" s="2" t="str">
        <f>'Wzorzec kategorii'!B143</f>
        <v>Inne wydatki</v>
      </c>
      <c r="C181" s="3">
        <f>SUM(Tabela1438454[[#All],[Kolumna2]])</f>
        <v>0</v>
      </c>
      <c r="D181" s="16">
        <f>SUM(Tabela1438454[[#All],[Kolumna3]])</f>
        <v>0</v>
      </c>
      <c r="E181" s="3">
        <f>C181-D181</f>
        <v>0</v>
      </c>
      <c r="F181" s="17" t="str">
        <f>IFERROR(D181/C181,"")</f>
        <v/>
      </c>
      <c r="G181" s="3"/>
      <c r="I181" s="25"/>
      <c r="J181" s="25"/>
    </row>
    <row r="182" spans="2:10" x14ac:dyDescent="0.2">
      <c r="B182" s="22" t="str">
        <f>'Wzorzec kategorii'!B144</f>
        <v>Dobroczynność</v>
      </c>
      <c r="C182" s="47">
        <f>Tabela1438[[#This Row],[Kolumna2]]+Tabela143876[[#This Row],[Kolumna2]]+Tabela1438108[[#This Row],[Kolumna2]]+Tabela1438140[[#This Row],[Kolumna2]]+Tabela1438172[[#This Row],[Kolumna2]]+Tabela1438204[[#This Row],[Kolumna2]]+Tabela1438236[[#This Row],[Kolumna2]]+Tabela1438268[[#This Row],[Kolumna2]]+Tabela1438300[[#This Row],[Kolumna2]]+Tabela1438332[[#This Row],[Kolumna2]]+Tabela1438380[[#This Row],[Kolumna2]]+Tabela1438422[[#This Row],[Kolumna2]]</f>
        <v>0</v>
      </c>
      <c r="D182" s="47">
        <f>Tabela1438[[#This Row],[Kolumna3]]+Tabela143876[[#This Row],[Kolumna3]]+Tabela1438108[[#This Row],[Kolumna3]]+Tabela1438140[[#This Row],[Kolumna3]]+Tabela1438172[[#This Row],[Kolumna3]]+Tabela1438204[[#This Row],[Kolumna3]]+Tabela1438236[[#This Row],[Kolumna3]]+Tabela1438268[[#This Row],[Kolumna3]]+Tabela1438300[[#This Row],[Kolumna3]]+Tabela1438332[[#This Row],[Kolumna3]]+Tabela1438380[[#This Row],[Kolumna3]]+Tabela1438422[[#This Row],[Kolumna3]]</f>
        <v>0</v>
      </c>
      <c r="E182" s="20">
        <f t="shared" ref="E182:E191" si="19">C182-D182</f>
        <v>0</v>
      </c>
      <c r="F182" s="21" t="str">
        <f t="shared" ref="F182:F191" si="20">IFERROR(D182/C182,"")</f>
        <v/>
      </c>
      <c r="G182" s="24"/>
      <c r="I182" s="25"/>
      <c r="J182" s="25"/>
    </row>
    <row r="183" spans="2:10" x14ac:dyDescent="0.2">
      <c r="B183" s="22" t="str">
        <f>'Wzorzec kategorii'!B145</f>
        <v>Prezenty</v>
      </c>
      <c r="C183" s="47">
        <f>Tabela1438[[#This Row],[Kolumna2]]+Tabela143876[[#This Row],[Kolumna2]]+Tabela1438108[[#This Row],[Kolumna2]]+Tabela1438140[[#This Row],[Kolumna2]]+Tabela1438172[[#This Row],[Kolumna2]]+Tabela1438204[[#This Row],[Kolumna2]]+Tabela1438236[[#This Row],[Kolumna2]]+Tabela1438268[[#This Row],[Kolumna2]]+Tabela1438300[[#This Row],[Kolumna2]]+Tabela1438332[[#This Row],[Kolumna2]]+Tabela1438380[[#This Row],[Kolumna2]]+Tabela1438422[[#This Row],[Kolumna2]]</f>
        <v>0</v>
      </c>
      <c r="D183" s="47">
        <f>Tabela1438[[#This Row],[Kolumna3]]+Tabela143876[[#This Row],[Kolumna3]]+Tabela1438108[[#This Row],[Kolumna3]]+Tabela1438140[[#This Row],[Kolumna3]]+Tabela1438172[[#This Row],[Kolumna3]]+Tabela1438204[[#This Row],[Kolumna3]]+Tabela1438236[[#This Row],[Kolumna3]]+Tabela1438268[[#This Row],[Kolumna3]]+Tabela1438300[[#This Row],[Kolumna3]]+Tabela1438332[[#This Row],[Kolumna3]]+Tabela1438380[[#This Row],[Kolumna3]]+Tabela1438422[[#This Row],[Kolumna3]]</f>
        <v>0</v>
      </c>
      <c r="E183" s="20">
        <f t="shared" si="19"/>
        <v>0</v>
      </c>
      <c r="F183" s="21" t="str">
        <f t="shared" si="20"/>
        <v/>
      </c>
      <c r="G183" s="24"/>
      <c r="I183" s="25"/>
      <c r="J183" s="25"/>
    </row>
    <row r="184" spans="2:10" x14ac:dyDescent="0.2">
      <c r="B184" s="22" t="str">
        <f>'Wzorzec kategorii'!B146</f>
        <v>Sprzęt RTV</v>
      </c>
      <c r="C184" s="47">
        <f>Tabela1438[[#This Row],[Kolumna2]]+Tabela143876[[#This Row],[Kolumna2]]+Tabela1438108[[#This Row],[Kolumna2]]+Tabela1438140[[#This Row],[Kolumna2]]+Tabela1438172[[#This Row],[Kolumna2]]+Tabela1438204[[#This Row],[Kolumna2]]+Tabela1438236[[#This Row],[Kolumna2]]+Tabela1438268[[#This Row],[Kolumna2]]+Tabela1438300[[#This Row],[Kolumna2]]+Tabela1438332[[#This Row],[Kolumna2]]+Tabela1438380[[#This Row],[Kolumna2]]+Tabela1438422[[#This Row],[Kolumna2]]</f>
        <v>0</v>
      </c>
      <c r="D184" s="47">
        <f>Tabela1438[[#This Row],[Kolumna3]]+Tabela143876[[#This Row],[Kolumna3]]+Tabela1438108[[#This Row],[Kolumna3]]+Tabela1438140[[#This Row],[Kolumna3]]+Tabela1438172[[#This Row],[Kolumna3]]+Tabela1438204[[#This Row],[Kolumna3]]+Tabela1438236[[#This Row],[Kolumna3]]+Tabela1438268[[#This Row],[Kolumna3]]+Tabela1438300[[#This Row],[Kolumna3]]+Tabela1438332[[#This Row],[Kolumna3]]+Tabela1438380[[#This Row],[Kolumna3]]+Tabela1438422[[#This Row],[Kolumna3]]</f>
        <v>0</v>
      </c>
      <c r="E184" s="20">
        <f t="shared" si="19"/>
        <v>0</v>
      </c>
      <c r="F184" s="21" t="str">
        <f t="shared" si="20"/>
        <v/>
      </c>
      <c r="G184" s="24"/>
      <c r="I184" s="25"/>
      <c r="J184" s="25"/>
    </row>
    <row r="185" spans="2:10" x14ac:dyDescent="0.2">
      <c r="B185" s="22" t="str">
        <f>'Wzorzec kategorii'!B147</f>
        <v>Oprogramowanie</v>
      </c>
      <c r="C185" s="47">
        <f>Tabela1438[[#This Row],[Kolumna2]]+Tabela143876[[#This Row],[Kolumna2]]+Tabela1438108[[#This Row],[Kolumna2]]+Tabela1438140[[#This Row],[Kolumna2]]+Tabela1438172[[#This Row],[Kolumna2]]+Tabela1438204[[#This Row],[Kolumna2]]+Tabela1438236[[#This Row],[Kolumna2]]+Tabela1438268[[#This Row],[Kolumna2]]+Tabela1438300[[#This Row],[Kolumna2]]+Tabela1438332[[#This Row],[Kolumna2]]+Tabela1438380[[#This Row],[Kolumna2]]+Tabela1438422[[#This Row],[Kolumna2]]</f>
        <v>0</v>
      </c>
      <c r="D185" s="47">
        <f>Tabela1438[[#This Row],[Kolumna3]]+Tabela143876[[#This Row],[Kolumna3]]+Tabela1438108[[#This Row],[Kolumna3]]+Tabela1438140[[#This Row],[Kolumna3]]+Tabela1438172[[#This Row],[Kolumna3]]+Tabela1438204[[#This Row],[Kolumna3]]+Tabela1438236[[#This Row],[Kolumna3]]+Tabela1438268[[#This Row],[Kolumna3]]+Tabela1438300[[#This Row],[Kolumna3]]+Tabela1438332[[#This Row],[Kolumna3]]+Tabela1438380[[#This Row],[Kolumna3]]+Tabela1438422[[#This Row],[Kolumna3]]</f>
        <v>0</v>
      </c>
      <c r="E185" s="20">
        <f t="shared" si="19"/>
        <v>0</v>
      </c>
      <c r="F185" s="21" t="str">
        <f t="shared" si="20"/>
        <v/>
      </c>
      <c r="G185" s="24"/>
      <c r="I185" s="25"/>
      <c r="J185" s="25"/>
    </row>
    <row r="186" spans="2:10" x14ac:dyDescent="0.2">
      <c r="B186" s="22" t="str">
        <f>'Wzorzec kategorii'!B148</f>
        <v>Edukacja / Szkolenia</v>
      </c>
      <c r="C186" s="47">
        <f>Tabela1438[[#This Row],[Kolumna2]]+Tabela143876[[#This Row],[Kolumna2]]+Tabela1438108[[#This Row],[Kolumna2]]+Tabela1438140[[#This Row],[Kolumna2]]+Tabela1438172[[#This Row],[Kolumna2]]+Tabela1438204[[#This Row],[Kolumna2]]+Tabela1438236[[#This Row],[Kolumna2]]+Tabela1438268[[#This Row],[Kolumna2]]+Tabela1438300[[#This Row],[Kolumna2]]+Tabela1438332[[#This Row],[Kolumna2]]+Tabela1438380[[#This Row],[Kolumna2]]+Tabela1438422[[#This Row],[Kolumna2]]</f>
        <v>0</v>
      </c>
      <c r="D186" s="47">
        <f>Tabela1438[[#This Row],[Kolumna3]]+Tabela143876[[#This Row],[Kolumna3]]+Tabela1438108[[#This Row],[Kolumna3]]+Tabela1438140[[#This Row],[Kolumna3]]+Tabela1438172[[#This Row],[Kolumna3]]+Tabela1438204[[#This Row],[Kolumna3]]+Tabela1438236[[#This Row],[Kolumna3]]+Tabela1438268[[#This Row],[Kolumna3]]+Tabela1438300[[#This Row],[Kolumna3]]+Tabela1438332[[#This Row],[Kolumna3]]+Tabela1438380[[#This Row],[Kolumna3]]+Tabela1438422[[#This Row],[Kolumna3]]</f>
        <v>0</v>
      </c>
      <c r="E186" s="20">
        <f t="shared" si="19"/>
        <v>0</v>
      </c>
      <c r="F186" s="21" t="str">
        <f t="shared" si="20"/>
        <v/>
      </c>
      <c r="G186" s="24"/>
      <c r="I186" s="25"/>
      <c r="J186" s="25"/>
    </row>
    <row r="187" spans="2:10" x14ac:dyDescent="0.2">
      <c r="B187" s="22" t="str">
        <f>'Wzorzec kategorii'!B149</f>
        <v>Usługi inne</v>
      </c>
      <c r="C187" s="47">
        <f>Tabela1438[[#This Row],[Kolumna2]]+Tabela143876[[#This Row],[Kolumna2]]+Tabela1438108[[#This Row],[Kolumna2]]+Tabela1438140[[#This Row],[Kolumna2]]+Tabela1438172[[#This Row],[Kolumna2]]+Tabela1438204[[#This Row],[Kolumna2]]+Tabela1438236[[#This Row],[Kolumna2]]+Tabela1438268[[#This Row],[Kolumna2]]+Tabela1438300[[#This Row],[Kolumna2]]+Tabela1438332[[#This Row],[Kolumna2]]+Tabela1438380[[#This Row],[Kolumna2]]+Tabela1438422[[#This Row],[Kolumna2]]</f>
        <v>0</v>
      </c>
      <c r="D187" s="47">
        <f>Tabela1438[[#This Row],[Kolumna3]]+Tabela143876[[#This Row],[Kolumna3]]+Tabela1438108[[#This Row],[Kolumna3]]+Tabela1438140[[#This Row],[Kolumna3]]+Tabela1438172[[#This Row],[Kolumna3]]+Tabela1438204[[#This Row],[Kolumna3]]+Tabela1438236[[#This Row],[Kolumna3]]+Tabela1438268[[#This Row],[Kolumna3]]+Tabela1438300[[#This Row],[Kolumna3]]+Tabela1438332[[#This Row],[Kolumna3]]+Tabela1438380[[#This Row],[Kolumna3]]+Tabela1438422[[#This Row],[Kolumna3]]</f>
        <v>0</v>
      </c>
      <c r="E187" s="20">
        <f t="shared" si="19"/>
        <v>0</v>
      </c>
      <c r="F187" s="21" t="str">
        <f t="shared" si="20"/>
        <v/>
      </c>
      <c r="G187" s="24"/>
      <c r="I187" s="25"/>
      <c r="J187" s="25"/>
    </row>
    <row r="188" spans="2:10" x14ac:dyDescent="0.2">
      <c r="B188" s="22" t="str">
        <f>'Wzorzec kategorii'!B150</f>
        <v>Podatki</v>
      </c>
      <c r="C188" s="47">
        <f>Tabela1438[[#This Row],[Kolumna2]]+Tabela143876[[#This Row],[Kolumna2]]+Tabela1438108[[#This Row],[Kolumna2]]+Tabela1438140[[#This Row],[Kolumna2]]+Tabela1438172[[#This Row],[Kolumna2]]+Tabela1438204[[#This Row],[Kolumna2]]+Tabela1438236[[#This Row],[Kolumna2]]+Tabela1438268[[#This Row],[Kolumna2]]+Tabela1438300[[#This Row],[Kolumna2]]+Tabela1438332[[#This Row],[Kolumna2]]+Tabela1438380[[#This Row],[Kolumna2]]+Tabela1438422[[#This Row],[Kolumna2]]</f>
        <v>0</v>
      </c>
      <c r="D188" s="47">
        <f>Tabela1438[[#This Row],[Kolumna3]]+Tabela143876[[#This Row],[Kolumna3]]+Tabela1438108[[#This Row],[Kolumna3]]+Tabela1438140[[#This Row],[Kolumna3]]+Tabela1438172[[#This Row],[Kolumna3]]+Tabela1438204[[#This Row],[Kolumna3]]+Tabela1438236[[#This Row],[Kolumna3]]+Tabela1438268[[#This Row],[Kolumna3]]+Tabela1438300[[#This Row],[Kolumna3]]+Tabela1438332[[#This Row],[Kolumna3]]+Tabela1438380[[#This Row],[Kolumna3]]+Tabela1438422[[#This Row],[Kolumna3]]</f>
        <v>0</v>
      </c>
      <c r="E188" s="20">
        <f t="shared" si="19"/>
        <v>0</v>
      </c>
      <c r="F188" s="21" t="str">
        <f t="shared" si="20"/>
        <v/>
      </c>
      <c r="G188" s="24"/>
      <c r="I188" s="25"/>
      <c r="J188" s="25"/>
    </row>
    <row r="189" spans="2:10" x14ac:dyDescent="0.2">
      <c r="B189" s="22" t="str">
        <f>'Wzorzec kategorii'!B151</f>
        <v>Inne</v>
      </c>
      <c r="C189" s="47">
        <f>Tabela1438[[#This Row],[Kolumna2]]+Tabela143876[[#This Row],[Kolumna2]]+Tabela1438108[[#This Row],[Kolumna2]]+Tabela1438140[[#This Row],[Kolumna2]]+Tabela1438172[[#This Row],[Kolumna2]]+Tabela1438204[[#This Row],[Kolumna2]]+Tabela1438236[[#This Row],[Kolumna2]]+Tabela1438268[[#This Row],[Kolumna2]]+Tabela1438300[[#This Row],[Kolumna2]]+Tabela1438332[[#This Row],[Kolumna2]]+Tabela1438380[[#This Row],[Kolumna2]]+Tabela1438422[[#This Row],[Kolumna2]]</f>
        <v>0</v>
      </c>
      <c r="D189" s="47">
        <f>Tabela1438[[#This Row],[Kolumna3]]+Tabela143876[[#This Row],[Kolumna3]]+Tabela1438108[[#This Row],[Kolumna3]]+Tabela1438140[[#This Row],[Kolumna3]]+Tabela1438172[[#This Row],[Kolumna3]]+Tabela1438204[[#This Row],[Kolumna3]]+Tabela1438236[[#This Row],[Kolumna3]]+Tabela1438268[[#This Row],[Kolumna3]]+Tabela1438300[[#This Row],[Kolumna3]]+Tabela1438332[[#This Row],[Kolumna3]]+Tabela1438380[[#This Row],[Kolumna3]]+Tabela1438422[[#This Row],[Kolumna3]]</f>
        <v>0</v>
      </c>
      <c r="E189" s="20">
        <f t="shared" si="19"/>
        <v>0</v>
      </c>
      <c r="F189" s="21" t="str">
        <f t="shared" si="20"/>
        <v/>
      </c>
      <c r="G189" s="24"/>
      <c r="I189" s="25"/>
      <c r="J189" s="25"/>
    </row>
    <row r="190" spans="2:10" x14ac:dyDescent="0.2">
      <c r="B190" s="22" t="str">
        <f>'Wzorzec kategorii'!B152</f>
        <v>.</v>
      </c>
      <c r="C190" s="47">
        <f>Tabela1438[[#This Row],[Kolumna2]]+Tabela143876[[#This Row],[Kolumna2]]+Tabela1438108[[#This Row],[Kolumna2]]+Tabela1438140[[#This Row],[Kolumna2]]+Tabela1438172[[#This Row],[Kolumna2]]+Tabela1438204[[#This Row],[Kolumna2]]+Tabela1438236[[#This Row],[Kolumna2]]+Tabela1438268[[#This Row],[Kolumna2]]+Tabela1438300[[#This Row],[Kolumna2]]+Tabela1438332[[#This Row],[Kolumna2]]+Tabela1438380[[#This Row],[Kolumna2]]+Tabela1438422[[#This Row],[Kolumna2]]</f>
        <v>0</v>
      </c>
      <c r="D190" s="47">
        <f>Tabela1438[[#This Row],[Kolumna3]]+Tabela143876[[#This Row],[Kolumna3]]+Tabela1438108[[#This Row],[Kolumna3]]+Tabela1438140[[#This Row],[Kolumna3]]+Tabela1438172[[#This Row],[Kolumna3]]+Tabela1438204[[#This Row],[Kolumna3]]+Tabela1438236[[#This Row],[Kolumna3]]+Tabela1438268[[#This Row],[Kolumna3]]+Tabela1438300[[#This Row],[Kolumna3]]+Tabela1438332[[#This Row],[Kolumna3]]+Tabela1438380[[#This Row],[Kolumna3]]+Tabela1438422[[#This Row],[Kolumna3]]</f>
        <v>0</v>
      </c>
      <c r="E190" s="20">
        <f t="shared" si="19"/>
        <v>0</v>
      </c>
      <c r="F190" s="53" t="str">
        <f t="shared" si="20"/>
        <v/>
      </c>
      <c r="G190" s="54"/>
      <c r="I190" s="25"/>
      <c r="J190" s="25"/>
    </row>
    <row r="191" spans="2:10" x14ac:dyDescent="0.2">
      <c r="B191" s="22" t="str">
        <f>'Wzorzec kategorii'!B153</f>
        <v>.</v>
      </c>
      <c r="C191" s="47">
        <f>Tabela1438[[#This Row],[Kolumna2]]+Tabela143876[[#This Row],[Kolumna2]]+Tabela1438108[[#This Row],[Kolumna2]]+Tabela1438140[[#This Row],[Kolumna2]]+Tabela1438172[[#This Row],[Kolumna2]]+Tabela1438204[[#This Row],[Kolumna2]]+Tabela1438236[[#This Row],[Kolumna2]]+Tabela1438268[[#This Row],[Kolumna2]]+Tabela1438300[[#This Row],[Kolumna2]]+Tabela1438332[[#This Row],[Kolumna2]]+Tabela1438380[[#This Row],[Kolumna2]]+Tabela1438422[[#This Row],[Kolumna2]]</f>
        <v>0</v>
      </c>
      <c r="D191" s="47">
        <f>Tabela1438[[#This Row],[Kolumna3]]+Tabela143876[[#This Row],[Kolumna3]]+Tabela1438108[[#This Row],[Kolumna3]]+Tabela1438140[[#This Row],[Kolumna3]]+Tabela1438172[[#This Row],[Kolumna3]]+Tabela1438204[[#This Row],[Kolumna3]]+Tabela1438236[[#This Row],[Kolumna3]]+Tabela1438268[[#This Row],[Kolumna3]]+Tabela1438300[[#This Row],[Kolumna3]]+Tabela1438332[[#This Row],[Kolumna3]]+Tabela1438380[[#This Row],[Kolumna3]]+Tabela1438422[[#This Row],[Kolumna3]]</f>
        <v>0</v>
      </c>
      <c r="E191" s="20">
        <f t="shared" si="19"/>
        <v>0</v>
      </c>
      <c r="F191" s="53" t="str">
        <f t="shared" si="20"/>
        <v/>
      </c>
      <c r="G191" s="54"/>
      <c r="I191" s="25"/>
      <c r="J191" s="25"/>
    </row>
    <row r="192" spans="2:10" x14ac:dyDescent="0.2">
      <c r="B192" s="5" t="s">
        <v>30</v>
      </c>
      <c r="I192" s="25"/>
      <c r="J192" s="25"/>
    </row>
    <row r="193" spans="2:10" x14ac:dyDescent="0.2">
      <c r="B193" s="2" t="str">
        <f>'Wzorzec kategorii'!B155</f>
        <v>Spłata długów</v>
      </c>
      <c r="C193" s="3">
        <f>SUM(Tabela1539455[[#All],[Kolumna2]])</f>
        <v>0</v>
      </c>
      <c r="D193" s="16">
        <f>SUM(Tabela1539455[[#All],[Kolumna3]])</f>
        <v>0</v>
      </c>
      <c r="E193" s="3">
        <f>C193-D193</f>
        <v>0</v>
      </c>
      <c r="F193" s="17" t="str">
        <f>IFERROR(D193/C193,"")</f>
        <v/>
      </c>
      <c r="G193" s="3"/>
      <c r="I193" s="25"/>
      <c r="J193" s="25"/>
    </row>
    <row r="194" spans="2:10" x14ac:dyDescent="0.2">
      <c r="B194" s="22" t="str">
        <f>'Wzorzec kategorii'!B156</f>
        <v>Kredyt hipoteczny</v>
      </c>
      <c r="C194" s="47">
        <f>Tabela1539[[#This Row],[Kolumna2]]+Tabela153977[[#This Row],[Kolumna2]]+Tabela1539109[[#This Row],[Kolumna2]]+Tabela1539141[[#This Row],[Kolumna2]]+Tabela1539173[[#This Row],[Kolumna2]]+Tabela1539205[[#This Row],[Kolumna2]]+Tabela1539237[[#This Row],[Kolumna2]]+Tabela1539269[[#This Row],[Kolumna2]]+Tabela1539301[[#This Row],[Kolumna2]]+Tabela1539333[[#This Row],[Kolumna2]]+Tabela1539391[[#This Row],[Kolumna2]]+Tabela1539423[[#This Row],[Kolumna2]]</f>
        <v>0</v>
      </c>
      <c r="D194" s="47">
        <f>Tabela1539[[#This Row],[Kolumna3]]+Tabela153977[[#This Row],[Kolumna3]]+Tabela1539109[[#This Row],[Kolumna3]]+Tabela1539141[[#This Row],[Kolumna3]]+Tabela1539173[[#This Row],[Kolumna3]]+Tabela1539205[[#This Row],[Kolumna3]]+Tabela1539237[[#This Row],[Kolumna3]]+Tabela1539269[[#This Row],[Kolumna3]]+Tabela1539301[[#This Row],[Kolumna3]]+Tabela1539333[[#This Row],[Kolumna3]]+Tabela1539391[[#This Row],[Kolumna3]]+Tabela1539423[[#This Row],[Kolumna3]]</f>
        <v>0</v>
      </c>
      <c r="E194" s="20">
        <f t="shared" ref="E194:E203" si="21">C194-D194</f>
        <v>0</v>
      </c>
      <c r="F194" s="21" t="str">
        <f t="shared" ref="F194:F203" si="22">IFERROR(D194/C194,"")</f>
        <v/>
      </c>
      <c r="G194" s="24"/>
      <c r="I194" s="25"/>
      <c r="J194" s="25"/>
    </row>
    <row r="195" spans="2:10" x14ac:dyDescent="0.2">
      <c r="B195" s="22" t="str">
        <f>'Wzorzec kategorii'!B157</f>
        <v>Kredyt konsumpcyjny</v>
      </c>
      <c r="C195" s="47">
        <f>Tabela1539[[#This Row],[Kolumna2]]+Tabela153977[[#This Row],[Kolumna2]]+Tabela1539109[[#This Row],[Kolumna2]]+Tabela1539141[[#This Row],[Kolumna2]]+Tabela1539173[[#This Row],[Kolumna2]]+Tabela1539205[[#This Row],[Kolumna2]]+Tabela1539237[[#This Row],[Kolumna2]]+Tabela1539269[[#This Row],[Kolumna2]]+Tabela1539301[[#This Row],[Kolumna2]]+Tabela1539333[[#This Row],[Kolumna2]]+Tabela1539391[[#This Row],[Kolumna2]]+Tabela1539423[[#This Row],[Kolumna2]]</f>
        <v>0</v>
      </c>
      <c r="D195" s="47">
        <f>Tabela1539[[#This Row],[Kolumna3]]+Tabela153977[[#This Row],[Kolumna3]]+Tabela1539109[[#This Row],[Kolumna3]]+Tabela1539141[[#This Row],[Kolumna3]]+Tabela1539173[[#This Row],[Kolumna3]]+Tabela1539205[[#This Row],[Kolumna3]]+Tabela1539237[[#This Row],[Kolumna3]]+Tabela1539269[[#This Row],[Kolumna3]]+Tabela1539301[[#This Row],[Kolumna3]]+Tabela1539333[[#This Row],[Kolumna3]]+Tabela1539391[[#This Row],[Kolumna3]]+Tabela1539423[[#This Row],[Kolumna3]]</f>
        <v>0</v>
      </c>
      <c r="E195" s="20">
        <f t="shared" si="21"/>
        <v>0</v>
      </c>
      <c r="F195" s="21" t="str">
        <f t="shared" si="22"/>
        <v/>
      </c>
      <c r="G195" s="24"/>
      <c r="I195" s="25"/>
      <c r="J195" s="25"/>
    </row>
    <row r="196" spans="2:10" x14ac:dyDescent="0.2">
      <c r="B196" s="22" t="str">
        <f>'Wzorzec kategorii'!B158</f>
        <v>Pożyczka osobista</v>
      </c>
      <c r="C196" s="47">
        <f>Tabela1539[[#This Row],[Kolumna2]]+Tabela153977[[#This Row],[Kolumna2]]+Tabela1539109[[#This Row],[Kolumna2]]+Tabela1539141[[#This Row],[Kolumna2]]+Tabela1539173[[#This Row],[Kolumna2]]+Tabela1539205[[#This Row],[Kolumna2]]+Tabela1539237[[#This Row],[Kolumna2]]+Tabela1539269[[#This Row],[Kolumna2]]+Tabela1539301[[#This Row],[Kolumna2]]+Tabela1539333[[#This Row],[Kolumna2]]+Tabela1539391[[#This Row],[Kolumna2]]+Tabela1539423[[#This Row],[Kolumna2]]</f>
        <v>0</v>
      </c>
      <c r="D196" s="47">
        <f>Tabela1539[[#This Row],[Kolumna3]]+Tabela153977[[#This Row],[Kolumna3]]+Tabela1539109[[#This Row],[Kolumna3]]+Tabela1539141[[#This Row],[Kolumna3]]+Tabela1539173[[#This Row],[Kolumna3]]+Tabela1539205[[#This Row],[Kolumna3]]+Tabela1539237[[#This Row],[Kolumna3]]+Tabela1539269[[#This Row],[Kolumna3]]+Tabela1539301[[#This Row],[Kolumna3]]+Tabela1539333[[#This Row],[Kolumna3]]+Tabela1539391[[#This Row],[Kolumna3]]+Tabela1539423[[#This Row],[Kolumna3]]</f>
        <v>0</v>
      </c>
      <c r="E196" s="20">
        <f t="shared" si="21"/>
        <v>0</v>
      </c>
      <c r="F196" s="21" t="str">
        <f t="shared" si="22"/>
        <v/>
      </c>
      <c r="G196" s="24"/>
      <c r="I196" s="25"/>
      <c r="J196" s="25"/>
    </row>
    <row r="197" spans="2:10" x14ac:dyDescent="0.2">
      <c r="B197" s="22" t="str">
        <f>'Wzorzec kategorii'!B159</f>
        <v>Inne</v>
      </c>
      <c r="C197" s="47">
        <f>Tabela1539[[#This Row],[Kolumna2]]+Tabela153977[[#This Row],[Kolumna2]]+Tabela1539109[[#This Row],[Kolumna2]]+Tabela1539141[[#This Row],[Kolumna2]]+Tabela1539173[[#This Row],[Kolumna2]]+Tabela1539205[[#This Row],[Kolumna2]]+Tabela1539237[[#This Row],[Kolumna2]]+Tabela1539269[[#This Row],[Kolumna2]]+Tabela1539301[[#This Row],[Kolumna2]]+Tabela1539333[[#This Row],[Kolumna2]]+Tabela1539391[[#This Row],[Kolumna2]]+Tabela1539423[[#This Row],[Kolumna2]]</f>
        <v>0</v>
      </c>
      <c r="D197" s="47">
        <f>Tabela1539[[#This Row],[Kolumna3]]+Tabela153977[[#This Row],[Kolumna3]]+Tabela1539109[[#This Row],[Kolumna3]]+Tabela1539141[[#This Row],[Kolumna3]]+Tabela1539173[[#This Row],[Kolumna3]]+Tabela1539205[[#This Row],[Kolumna3]]+Tabela1539237[[#This Row],[Kolumna3]]+Tabela1539269[[#This Row],[Kolumna3]]+Tabela1539301[[#This Row],[Kolumna3]]+Tabela1539333[[#This Row],[Kolumna3]]+Tabela1539391[[#This Row],[Kolumna3]]+Tabela1539423[[#This Row],[Kolumna3]]</f>
        <v>0</v>
      </c>
      <c r="E197" s="20">
        <f t="shared" si="21"/>
        <v>0</v>
      </c>
      <c r="F197" s="21" t="str">
        <f t="shared" si="22"/>
        <v/>
      </c>
      <c r="G197" s="24"/>
      <c r="I197" s="25"/>
      <c r="J197" s="25"/>
    </row>
    <row r="198" spans="2:10" x14ac:dyDescent="0.2">
      <c r="B198" s="22" t="str">
        <f>'Wzorzec kategorii'!B160</f>
        <v>.</v>
      </c>
      <c r="C198" s="47">
        <f>Tabela1539[[#This Row],[Kolumna2]]+Tabela153977[[#This Row],[Kolumna2]]+Tabela1539109[[#This Row],[Kolumna2]]+Tabela1539141[[#This Row],[Kolumna2]]+Tabela1539173[[#This Row],[Kolumna2]]+Tabela1539205[[#This Row],[Kolumna2]]+Tabela1539237[[#This Row],[Kolumna2]]+Tabela1539269[[#This Row],[Kolumna2]]+Tabela1539301[[#This Row],[Kolumna2]]+Tabela1539333[[#This Row],[Kolumna2]]+Tabela1539391[[#This Row],[Kolumna2]]+Tabela1539423[[#This Row],[Kolumna2]]</f>
        <v>0</v>
      </c>
      <c r="D198" s="47">
        <f>Tabela1539[[#This Row],[Kolumna3]]+Tabela153977[[#This Row],[Kolumna3]]+Tabela1539109[[#This Row],[Kolumna3]]+Tabela1539141[[#This Row],[Kolumna3]]+Tabela1539173[[#This Row],[Kolumna3]]+Tabela1539205[[#This Row],[Kolumna3]]+Tabela1539237[[#This Row],[Kolumna3]]+Tabela1539269[[#This Row],[Kolumna3]]+Tabela1539301[[#This Row],[Kolumna3]]+Tabela1539333[[#This Row],[Kolumna3]]+Tabela1539391[[#This Row],[Kolumna3]]+Tabela1539423[[#This Row],[Kolumna3]]</f>
        <v>0</v>
      </c>
      <c r="E198" s="20">
        <f t="shared" si="21"/>
        <v>0</v>
      </c>
      <c r="F198" s="21" t="str">
        <f t="shared" si="22"/>
        <v/>
      </c>
      <c r="G198" s="24"/>
      <c r="I198" s="25"/>
      <c r="J198" s="25"/>
    </row>
    <row r="199" spans="2:10" x14ac:dyDescent="0.2">
      <c r="B199" s="22" t="str">
        <f>'Wzorzec kategorii'!B161</f>
        <v>.</v>
      </c>
      <c r="C199" s="47">
        <f>Tabela1539[[#This Row],[Kolumna2]]+Tabela153977[[#This Row],[Kolumna2]]+Tabela1539109[[#This Row],[Kolumna2]]+Tabela1539141[[#This Row],[Kolumna2]]+Tabela1539173[[#This Row],[Kolumna2]]+Tabela1539205[[#This Row],[Kolumna2]]+Tabela1539237[[#This Row],[Kolumna2]]+Tabela1539269[[#This Row],[Kolumna2]]+Tabela1539301[[#This Row],[Kolumna2]]+Tabela1539333[[#This Row],[Kolumna2]]+Tabela1539391[[#This Row],[Kolumna2]]+Tabela1539423[[#This Row],[Kolumna2]]</f>
        <v>0</v>
      </c>
      <c r="D199" s="47">
        <f>Tabela1539[[#This Row],[Kolumna3]]+Tabela153977[[#This Row],[Kolumna3]]+Tabela1539109[[#This Row],[Kolumna3]]+Tabela1539141[[#This Row],[Kolumna3]]+Tabela1539173[[#This Row],[Kolumna3]]+Tabela1539205[[#This Row],[Kolumna3]]+Tabela1539237[[#This Row],[Kolumna3]]+Tabela1539269[[#This Row],[Kolumna3]]+Tabela1539301[[#This Row],[Kolumna3]]+Tabela1539333[[#This Row],[Kolumna3]]+Tabela1539391[[#This Row],[Kolumna3]]+Tabela1539423[[#This Row],[Kolumna3]]</f>
        <v>0</v>
      </c>
      <c r="E199" s="20">
        <f t="shared" si="21"/>
        <v>0</v>
      </c>
      <c r="F199" s="21" t="str">
        <f t="shared" si="22"/>
        <v/>
      </c>
      <c r="G199" s="24"/>
      <c r="I199" s="25"/>
      <c r="J199" s="25"/>
    </row>
    <row r="200" spans="2:10" x14ac:dyDescent="0.2">
      <c r="B200" s="22" t="str">
        <f>'Wzorzec kategorii'!B162</f>
        <v>.</v>
      </c>
      <c r="C200" s="47">
        <f>Tabela1539[[#This Row],[Kolumna2]]+Tabela153977[[#This Row],[Kolumna2]]+Tabela1539109[[#This Row],[Kolumna2]]+Tabela1539141[[#This Row],[Kolumna2]]+Tabela1539173[[#This Row],[Kolumna2]]+Tabela1539205[[#This Row],[Kolumna2]]+Tabela1539237[[#This Row],[Kolumna2]]+Tabela1539269[[#This Row],[Kolumna2]]+Tabela1539301[[#This Row],[Kolumna2]]+Tabela1539333[[#This Row],[Kolumna2]]+Tabela1539391[[#This Row],[Kolumna2]]+Tabela1539423[[#This Row],[Kolumna2]]</f>
        <v>0</v>
      </c>
      <c r="D200" s="47">
        <f>Tabela1539[[#This Row],[Kolumna3]]+Tabela153977[[#This Row],[Kolumna3]]+Tabela1539109[[#This Row],[Kolumna3]]+Tabela1539141[[#This Row],[Kolumna3]]+Tabela1539173[[#This Row],[Kolumna3]]+Tabela1539205[[#This Row],[Kolumna3]]+Tabela1539237[[#This Row],[Kolumna3]]+Tabela1539269[[#This Row],[Kolumna3]]+Tabela1539301[[#This Row],[Kolumna3]]+Tabela1539333[[#This Row],[Kolumna3]]+Tabela1539391[[#This Row],[Kolumna3]]+Tabela1539423[[#This Row],[Kolumna3]]</f>
        <v>0</v>
      </c>
      <c r="E200" s="20">
        <f t="shared" si="21"/>
        <v>0</v>
      </c>
      <c r="F200" s="53" t="str">
        <f t="shared" si="22"/>
        <v/>
      </c>
      <c r="G200" s="54"/>
      <c r="I200" s="25"/>
      <c r="J200" s="25"/>
    </row>
    <row r="201" spans="2:10" x14ac:dyDescent="0.2">
      <c r="B201" s="22" t="str">
        <f>'Wzorzec kategorii'!B163</f>
        <v>.</v>
      </c>
      <c r="C201" s="47">
        <f>Tabela1539[[#This Row],[Kolumna2]]+Tabela153977[[#This Row],[Kolumna2]]+Tabela1539109[[#This Row],[Kolumna2]]+Tabela1539141[[#This Row],[Kolumna2]]+Tabela1539173[[#This Row],[Kolumna2]]+Tabela1539205[[#This Row],[Kolumna2]]+Tabela1539237[[#This Row],[Kolumna2]]+Tabela1539269[[#This Row],[Kolumna2]]+Tabela1539301[[#This Row],[Kolumna2]]+Tabela1539333[[#This Row],[Kolumna2]]+Tabela1539391[[#This Row],[Kolumna2]]+Tabela1539423[[#This Row],[Kolumna2]]</f>
        <v>0</v>
      </c>
      <c r="D201" s="47">
        <f>Tabela1539[[#This Row],[Kolumna3]]+Tabela153977[[#This Row],[Kolumna3]]+Tabela1539109[[#This Row],[Kolumna3]]+Tabela1539141[[#This Row],[Kolumna3]]+Tabela1539173[[#This Row],[Kolumna3]]+Tabela1539205[[#This Row],[Kolumna3]]+Tabela1539237[[#This Row],[Kolumna3]]+Tabela1539269[[#This Row],[Kolumna3]]+Tabela1539301[[#This Row],[Kolumna3]]+Tabela1539333[[#This Row],[Kolumna3]]+Tabela1539391[[#This Row],[Kolumna3]]+Tabela1539423[[#This Row],[Kolumna3]]</f>
        <v>0</v>
      </c>
      <c r="E201" s="20">
        <f t="shared" si="21"/>
        <v>0</v>
      </c>
      <c r="F201" s="53" t="str">
        <f t="shared" si="22"/>
        <v/>
      </c>
      <c r="G201" s="54"/>
      <c r="I201" s="25"/>
      <c r="J201" s="25"/>
    </row>
    <row r="202" spans="2:10" x14ac:dyDescent="0.2">
      <c r="B202" s="22" t="str">
        <f>'Wzorzec kategorii'!B164</f>
        <v>.</v>
      </c>
      <c r="C202" s="47">
        <f>Tabela1539[[#This Row],[Kolumna2]]+Tabela153977[[#This Row],[Kolumna2]]+Tabela1539109[[#This Row],[Kolumna2]]+Tabela1539141[[#This Row],[Kolumna2]]+Tabela1539173[[#This Row],[Kolumna2]]+Tabela1539205[[#This Row],[Kolumna2]]+Tabela1539237[[#This Row],[Kolumna2]]+Tabela1539269[[#This Row],[Kolumna2]]+Tabela1539301[[#This Row],[Kolumna2]]+Tabela1539333[[#This Row],[Kolumna2]]+Tabela1539391[[#This Row],[Kolumna2]]+Tabela1539423[[#This Row],[Kolumna2]]</f>
        <v>0</v>
      </c>
      <c r="D202" s="47">
        <f>Tabela1539[[#This Row],[Kolumna3]]+Tabela153977[[#This Row],[Kolumna3]]+Tabela1539109[[#This Row],[Kolumna3]]+Tabela1539141[[#This Row],[Kolumna3]]+Tabela1539173[[#This Row],[Kolumna3]]+Tabela1539205[[#This Row],[Kolumna3]]+Tabela1539237[[#This Row],[Kolumna3]]+Tabela1539269[[#This Row],[Kolumna3]]+Tabela1539301[[#This Row],[Kolumna3]]+Tabela1539333[[#This Row],[Kolumna3]]+Tabela1539391[[#This Row],[Kolumna3]]+Tabela1539423[[#This Row],[Kolumna3]]</f>
        <v>0</v>
      </c>
      <c r="E202" s="20">
        <f t="shared" si="21"/>
        <v>0</v>
      </c>
      <c r="F202" s="53" t="str">
        <f t="shared" si="22"/>
        <v/>
      </c>
      <c r="G202" s="54"/>
      <c r="I202" s="25"/>
      <c r="J202" s="25"/>
    </row>
    <row r="203" spans="2:10" x14ac:dyDescent="0.2">
      <c r="B203" s="22" t="str">
        <f>'Wzorzec kategorii'!B165</f>
        <v>.</v>
      </c>
      <c r="C203" s="47">
        <f>Tabela1539[[#This Row],[Kolumna2]]+Tabela153977[[#This Row],[Kolumna2]]+Tabela1539109[[#This Row],[Kolumna2]]+Tabela1539141[[#This Row],[Kolumna2]]+Tabela1539173[[#This Row],[Kolumna2]]+Tabela1539205[[#This Row],[Kolumna2]]+Tabela1539237[[#This Row],[Kolumna2]]+Tabela1539269[[#This Row],[Kolumna2]]+Tabela1539301[[#This Row],[Kolumna2]]+Tabela1539333[[#This Row],[Kolumna2]]+Tabela1539391[[#This Row],[Kolumna2]]+Tabela1539423[[#This Row],[Kolumna2]]</f>
        <v>0</v>
      </c>
      <c r="D203" s="47">
        <f>Tabela1539[[#This Row],[Kolumna3]]+Tabela153977[[#This Row],[Kolumna3]]+Tabela1539109[[#This Row],[Kolumna3]]+Tabela1539141[[#This Row],[Kolumna3]]+Tabela1539173[[#This Row],[Kolumna3]]+Tabela1539205[[#This Row],[Kolumna3]]+Tabela1539237[[#This Row],[Kolumna3]]+Tabela1539269[[#This Row],[Kolumna3]]+Tabela1539301[[#This Row],[Kolumna3]]+Tabela1539333[[#This Row],[Kolumna3]]+Tabela1539391[[#This Row],[Kolumna3]]+Tabela1539423[[#This Row],[Kolumna3]]</f>
        <v>0</v>
      </c>
      <c r="E203" s="20">
        <f t="shared" si="21"/>
        <v>0</v>
      </c>
      <c r="F203" s="53" t="str">
        <f t="shared" si="22"/>
        <v/>
      </c>
      <c r="G203" s="54"/>
      <c r="I203" s="25"/>
      <c r="J203" s="25"/>
    </row>
    <row r="204" spans="2:10" x14ac:dyDescent="0.2">
      <c r="B204" s="5" t="s">
        <v>30</v>
      </c>
      <c r="I204" s="25"/>
      <c r="J204" s="25"/>
    </row>
    <row r="205" spans="2:10" x14ac:dyDescent="0.2">
      <c r="B205" s="2" t="str">
        <f>'Wzorzec kategorii'!B167</f>
        <v>Budowanie oszczędności</v>
      </c>
      <c r="C205" s="3">
        <f>SUM(Tabela1640456[[#All],[Kolumna2]])</f>
        <v>0</v>
      </c>
      <c r="D205" s="16">
        <f>SUM(Tabela1640456[[#All],[Kolumna3]])</f>
        <v>0</v>
      </c>
      <c r="E205" s="3">
        <f>C205-D205</f>
        <v>0</v>
      </c>
      <c r="F205" s="17" t="str">
        <f>IFERROR(D205/C205,"")</f>
        <v/>
      </c>
      <c r="G205" s="3"/>
      <c r="I205" s="25"/>
      <c r="J205" s="25"/>
    </row>
    <row r="206" spans="2:10" x14ac:dyDescent="0.2">
      <c r="B206" s="22" t="str">
        <f>'Wzorzec kategorii'!B168</f>
        <v>Fundusz awaryjny</v>
      </c>
      <c r="C206" s="47">
        <f>Tabela1640[[#This Row],[Kolumna2]]+Tabela164078[[#This Row],[Kolumna2]]+Tabela1640110[[#This Row],[Kolumna2]]+Tabela1640142[[#This Row],[Kolumna2]]+Tabela1640174[[#This Row],[Kolumna2]]+Tabela1640206[[#This Row],[Kolumna2]]+Tabela1640238[[#This Row],[Kolumna2]]+Tabela1640270[[#This Row],[Kolumna2]]+Tabela1640302[[#This Row],[Kolumna2]]+Tabela1640334[[#This Row],[Kolumna2]]+Tabela1640392[[#This Row],[Kolumna2]]+Tabela1640424[[#This Row],[Kolumna2]]</f>
        <v>0</v>
      </c>
      <c r="D206" s="47">
        <f>Tabela1640[[#This Row],[Kolumna3]]+Tabela164078[[#This Row],[Kolumna3]]+Tabela1640110[[#This Row],[Kolumna3]]+Tabela1640142[[#This Row],[Kolumna3]]+Tabela1640174[[#This Row],[Kolumna3]]+Tabela1640206[[#This Row],[Kolumna3]]+Tabela1640238[[#This Row],[Kolumna3]]+Tabela1640270[[#This Row],[Kolumna3]]+Tabela1640302[[#This Row],[Kolumna3]]+Tabela1640334[[#This Row],[Kolumna3]]+Tabela1640392[[#This Row],[Kolumna3]]+Tabela1640424[[#This Row],[Kolumna3]]</f>
        <v>0</v>
      </c>
      <c r="E206" s="20">
        <f t="shared" ref="E206:E215" si="23">C206-D206</f>
        <v>0</v>
      </c>
      <c r="F206" s="21" t="str">
        <f t="shared" ref="F206:F215" si="24">IFERROR(D206/C206,"")</f>
        <v/>
      </c>
      <c r="G206" s="24"/>
      <c r="I206" s="25"/>
      <c r="J206" s="25"/>
    </row>
    <row r="207" spans="2:10" ht="30" x14ac:dyDescent="0.2">
      <c r="B207" s="22" t="str">
        <f>'Wzorzec kategorii'!B169</f>
        <v>Fundusz wydatków nieregularnych</v>
      </c>
      <c r="C207" s="47">
        <f>Tabela1640[[#This Row],[Kolumna2]]+Tabela164078[[#This Row],[Kolumna2]]+Tabela1640110[[#This Row],[Kolumna2]]+Tabela1640142[[#This Row],[Kolumna2]]+Tabela1640174[[#This Row],[Kolumna2]]+Tabela1640206[[#This Row],[Kolumna2]]+Tabela1640238[[#This Row],[Kolumna2]]+Tabela1640270[[#This Row],[Kolumna2]]+Tabela1640302[[#This Row],[Kolumna2]]+Tabela1640334[[#This Row],[Kolumna2]]+Tabela1640392[[#This Row],[Kolumna2]]+Tabela1640424[[#This Row],[Kolumna2]]</f>
        <v>0</v>
      </c>
      <c r="D207" s="47">
        <f>Tabela1640[[#This Row],[Kolumna3]]+Tabela164078[[#This Row],[Kolumna3]]+Tabela1640110[[#This Row],[Kolumna3]]+Tabela1640142[[#This Row],[Kolumna3]]+Tabela1640174[[#This Row],[Kolumna3]]+Tabela1640206[[#This Row],[Kolumna3]]+Tabela1640238[[#This Row],[Kolumna3]]+Tabela1640270[[#This Row],[Kolumna3]]+Tabela1640302[[#This Row],[Kolumna3]]+Tabela1640334[[#This Row],[Kolumna3]]+Tabela1640392[[#This Row],[Kolumna3]]+Tabela1640424[[#This Row],[Kolumna3]]</f>
        <v>0</v>
      </c>
      <c r="E207" s="20">
        <f t="shared" si="23"/>
        <v>0</v>
      </c>
      <c r="F207" s="21" t="str">
        <f t="shared" si="24"/>
        <v/>
      </c>
      <c r="G207" s="24"/>
      <c r="I207" s="25"/>
      <c r="J207" s="25"/>
    </row>
    <row r="208" spans="2:10" x14ac:dyDescent="0.2">
      <c r="B208" s="22" t="str">
        <f>'Wzorzec kategorii'!B170</f>
        <v>Poduszka finansowa</v>
      </c>
      <c r="C208" s="47">
        <f>Tabela1640[[#This Row],[Kolumna2]]+Tabela164078[[#This Row],[Kolumna2]]+Tabela1640110[[#This Row],[Kolumna2]]+Tabela1640142[[#This Row],[Kolumna2]]+Tabela1640174[[#This Row],[Kolumna2]]+Tabela1640206[[#This Row],[Kolumna2]]+Tabela1640238[[#This Row],[Kolumna2]]+Tabela1640270[[#This Row],[Kolumna2]]+Tabela1640302[[#This Row],[Kolumna2]]+Tabela1640334[[#This Row],[Kolumna2]]+Tabela1640392[[#This Row],[Kolumna2]]+Tabela1640424[[#This Row],[Kolumna2]]</f>
        <v>0</v>
      </c>
      <c r="D208" s="47">
        <f>Tabela1640[[#This Row],[Kolumna3]]+Tabela164078[[#This Row],[Kolumna3]]+Tabela1640110[[#This Row],[Kolumna3]]+Tabela1640142[[#This Row],[Kolumna3]]+Tabela1640174[[#This Row],[Kolumna3]]+Tabela1640206[[#This Row],[Kolumna3]]+Tabela1640238[[#This Row],[Kolumna3]]+Tabela1640270[[#This Row],[Kolumna3]]+Tabela1640302[[#This Row],[Kolumna3]]+Tabela1640334[[#This Row],[Kolumna3]]+Tabela1640392[[#This Row],[Kolumna3]]+Tabela1640424[[#This Row],[Kolumna3]]</f>
        <v>0</v>
      </c>
      <c r="E208" s="20">
        <f t="shared" si="23"/>
        <v>0</v>
      </c>
      <c r="F208" s="21" t="str">
        <f t="shared" si="24"/>
        <v/>
      </c>
      <c r="G208" s="24"/>
      <c r="I208" s="25"/>
      <c r="J208" s="25"/>
    </row>
    <row r="209" spans="2:10" x14ac:dyDescent="0.2">
      <c r="B209" s="22" t="str">
        <f>'Wzorzec kategorii'!B171</f>
        <v>Konto emerytalne IKE/IKZE</v>
      </c>
      <c r="C209" s="47">
        <f>Tabela1640[[#This Row],[Kolumna2]]+Tabela164078[[#This Row],[Kolumna2]]+Tabela1640110[[#This Row],[Kolumna2]]+Tabela1640142[[#This Row],[Kolumna2]]+Tabela1640174[[#This Row],[Kolumna2]]+Tabela1640206[[#This Row],[Kolumna2]]+Tabela1640238[[#This Row],[Kolumna2]]+Tabela1640270[[#This Row],[Kolumna2]]+Tabela1640302[[#This Row],[Kolumna2]]+Tabela1640334[[#This Row],[Kolumna2]]+Tabela1640392[[#This Row],[Kolumna2]]+Tabela1640424[[#This Row],[Kolumna2]]</f>
        <v>0</v>
      </c>
      <c r="D209" s="47">
        <f>Tabela1640[[#This Row],[Kolumna3]]+Tabela164078[[#This Row],[Kolumna3]]+Tabela1640110[[#This Row],[Kolumna3]]+Tabela1640142[[#This Row],[Kolumna3]]+Tabela1640174[[#This Row],[Kolumna3]]+Tabela1640206[[#This Row],[Kolumna3]]+Tabela1640238[[#This Row],[Kolumna3]]+Tabela1640270[[#This Row],[Kolumna3]]+Tabela1640302[[#This Row],[Kolumna3]]+Tabela1640334[[#This Row],[Kolumna3]]+Tabela1640392[[#This Row],[Kolumna3]]+Tabela1640424[[#This Row],[Kolumna3]]</f>
        <v>0</v>
      </c>
      <c r="E209" s="20">
        <f t="shared" si="23"/>
        <v>0</v>
      </c>
      <c r="F209" s="21" t="str">
        <f t="shared" si="24"/>
        <v/>
      </c>
      <c r="G209" s="24"/>
      <c r="I209" s="25"/>
      <c r="J209" s="25"/>
    </row>
    <row r="210" spans="2:10" x14ac:dyDescent="0.2">
      <c r="B210" s="22" t="str">
        <f>'Wzorzec kategorii'!B172</f>
        <v>Nadpłata długów</v>
      </c>
      <c r="C210" s="47">
        <f>Tabela1640[[#This Row],[Kolumna2]]+Tabela164078[[#This Row],[Kolumna2]]+Tabela1640110[[#This Row],[Kolumna2]]+Tabela1640142[[#This Row],[Kolumna2]]+Tabela1640174[[#This Row],[Kolumna2]]+Tabela1640206[[#This Row],[Kolumna2]]+Tabela1640238[[#This Row],[Kolumna2]]+Tabela1640270[[#This Row],[Kolumna2]]+Tabela1640302[[#This Row],[Kolumna2]]+Tabela1640334[[#This Row],[Kolumna2]]+Tabela1640392[[#This Row],[Kolumna2]]+Tabela1640424[[#This Row],[Kolumna2]]</f>
        <v>0</v>
      </c>
      <c r="D210" s="47">
        <f>Tabela1640[[#This Row],[Kolumna3]]+Tabela164078[[#This Row],[Kolumna3]]+Tabela1640110[[#This Row],[Kolumna3]]+Tabela1640142[[#This Row],[Kolumna3]]+Tabela1640174[[#This Row],[Kolumna3]]+Tabela1640206[[#This Row],[Kolumna3]]+Tabela1640238[[#This Row],[Kolumna3]]+Tabela1640270[[#This Row],[Kolumna3]]+Tabela1640302[[#This Row],[Kolumna3]]+Tabela1640334[[#This Row],[Kolumna3]]+Tabela1640392[[#This Row],[Kolumna3]]+Tabela1640424[[#This Row],[Kolumna3]]</f>
        <v>0</v>
      </c>
      <c r="E210" s="20">
        <f t="shared" si="23"/>
        <v>0</v>
      </c>
      <c r="F210" s="21" t="str">
        <f t="shared" si="24"/>
        <v/>
      </c>
      <c r="G210" s="24"/>
      <c r="I210" s="25"/>
      <c r="J210" s="25"/>
    </row>
    <row r="211" spans="2:10" x14ac:dyDescent="0.2">
      <c r="B211" s="22" t="str">
        <f>'Wzorzec kategorii'!B173</f>
        <v>Fundusz: wakacje</v>
      </c>
      <c r="C211" s="47">
        <f>Tabela1640[[#This Row],[Kolumna2]]+Tabela164078[[#This Row],[Kolumna2]]+Tabela1640110[[#This Row],[Kolumna2]]+Tabela1640142[[#This Row],[Kolumna2]]+Tabela1640174[[#This Row],[Kolumna2]]+Tabela1640206[[#This Row],[Kolumna2]]+Tabela1640238[[#This Row],[Kolumna2]]+Tabela1640270[[#This Row],[Kolumna2]]+Tabela1640302[[#This Row],[Kolumna2]]+Tabela1640334[[#This Row],[Kolumna2]]+Tabela1640392[[#This Row],[Kolumna2]]+Tabela1640424[[#This Row],[Kolumna2]]</f>
        <v>0</v>
      </c>
      <c r="D211" s="47">
        <f>Tabela1640[[#This Row],[Kolumna3]]+Tabela164078[[#This Row],[Kolumna3]]+Tabela1640110[[#This Row],[Kolumna3]]+Tabela1640142[[#This Row],[Kolumna3]]+Tabela1640174[[#This Row],[Kolumna3]]+Tabela1640206[[#This Row],[Kolumna3]]+Tabela1640238[[#This Row],[Kolumna3]]+Tabela1640270[[#This Row],[Kolumna3]]+Tabela1640302[[#This Row],[Kolumna3]]+Tabela1640334[[#This Row],[Kolumna3]]+Tabela1640392[[#This Row],[Kolumna3]]+Tabela1640424[[#This Row],[Kolumna3]]</f>
        <v>0</v>
      </c>
      <c r="E211" s="20">
        <f t="shared" si="23"/>
        <v>0</v>
      </c>
      <c r="F211" s="21" t="str">
        <f t="shared" si="24"/>
        <v/>
      </c>
      <c r="G211" s="24"/>
      <c r="I211" s="25"/>
      <c r="J211" s="25"/>
    </row>
    <row r="212" spans="2:10" x14ac:dyDescent="0.2">
      <c r="B212" s="22" t="str">
        <f>'Wzorzec kategorii'!B174</f>
        <v>Fundusz: prezenty świąteczne</v>
      </c>
      <c r="C212" s="47">
        <f>Tabela1640[[#This Row],[Kolumna2]]+Tabela164078[[#This Row],[Kolumna2]]+Tabela1640110[[#This Row],[Kolumna2]]+Tabela1640142[[#This Row],[Kolumna2]]+Tabela1640174[[#This Row],[Kolumna2]]+Tabela1640206[[#This Row],[Kolumna2]]+Tabela1640238[[#This Row],[Kolumna2]]+Tabela1640270[[#This Row],[Kolumna2]]+Tabela1640302[[#This Row],[Kolumna2]]+Tabela1640334[[#This Row],[Kolumna2]]+Tabela1640392[[#This Row],[Kolumna2]]+Tabela1640424[[#This Row],[Kolumna2]]</f>
        <v>0</v>
      </c>
      <c r="D212" s="47">
        <f>Tabela1640[[#This Row],[Kolumna3]]+Tabela164078[[#This Row],[Kolumna3]]+Tabela1640110[[#This Row],[Kolumna3]]+Tabela1640142[[#This Row],[Kolumna3]]+Tabela1640174[[#This Row],[Kolumna3]]+Tabela1640206[[#This Row],[Kolumna3]]+Tabela1640238[[#This Row],[Kolumna3]]+Tabela1640270[[#This Row],[Kolumna3]]+Tabela1640302[[#This Row],[Kolumna3]]+Tabela1640334[[#This Row],[Kolumna3]]+Tabela1640392[[#This Row],[Kolumna3]]+Tabela1640424[[#This Row],[Kolumna3]]</f>
        <v>0</v>
      </c>
      <c r="E212" s="20">
        <f t="shared" si="23"/>
        <v>0</v>
      </c>
      <c r="F212" s="21" t="str">
        <f t="shared" si="24"/>
        <v/>
      </c>
      <c r="G212" s="24"/>
      <c r="I212" s="25"/>
      <c r="J212" s="25"/>
    </row>
    <row r="213" spans="2:10" x14ac:dyDescent="0.2">
      <c r="B213" s="22" t="str">
        <f>'Wzorzec kategorii'!B175</f>
        <v>Inne</v>
      </c>
      <c r="C213" s="47">
        <f>Tabela1640[[#This Row],[Kolumna2]]+Tabela164078[[#This Row],[Kolumna2]]+Tabela1640110[[#This Row],[Kolumna2]]+Tabela1640142[[#This Row],[Kolumna2]]+Tabela1640174[[#This Row],[Kolumna2]]+Tabela1640206[[#This Row],[Kolumna2]]+Tabela1640238[[#This Row],[Kolumna2]]+Tabela1640270[[#This Row],[Kolumna2]]+Tabela1640302[[#This Row],[Kolumna2]]+Tabela1640334[[#This Row],[Kolumna2]]+Tabela1640392[[#This Row],[Kolumna2]]+Tabela1640424[[#This Row],[Kolumna2]]</f>
        <v>0</v>
      </c>
      <c r="D213" s="47">
        <f>Tabela1640[[#This Row],[Kolumna3]]+Tabela164078[[#This Row],[Kolumna3]]+Tabela1640110[[#This Row],[Kolumna3]]+Tabela1640142[[#This Row],[Kolumna3]]+Tabela1640174[[#This Row],[Kolumna3]]+Tabela1640206[[#This Row],[Kolumna3]]+Tabela1640238[[#This Row],[Kolumna3]]+Tabela1640270[[#This Row],[Kolumna3]]+Tabela1640302[[#This Row],[Kolumna3]]+Tabela1640334[[#This Row],[Kolumna3]]+Tabela1640392[[#This Row],[Kolumna3]]+Tabela1640424[[#This Row],[Kolumna3]]</f>
        <v>0</v>
      </c>
      <c r="E213" s="20">
        <f t="shared" si="23"/>
        <v>0</v>
      </c>
      <c r="F213" s="21" t="str">
        <f t="shared" si="24"/>
        <v/>
      </c>
      <c r="G213" s="24"/>
      <c r="I213" s="25"/>
      <c r="J213" s="25"/>
    </row>
    <row r="214" spans="2:10" x14ac:dyDescent="0.2">
      <c r="B214" s="22" t="str">
        <f>'Wzorzec kategorii'!B176</f>
        <v>.</v>
      </c>
      <c r="C214" s="47">
        <f>Tabela1640[[#This Row],[Kolumna2]]+Tabela164078[[#This Row],[Kolumna2]]+Tabela1640110[[#This Row],[Kolumna2]]+Tabela1640142[[#This Row],[Kolumna2]]+Tabela1640174[[#This Row],[Kolumna2]]+Tabela1640206[[#This Row],[Kolumna2]]+Tabela1640238[[#This Row],[Kolumna2]]+Tabela1640270[[#This Row],[Kolumna2]]+Tabela1640302[[#This Row],[Kolumna2]]+Tabela1640334[[#This Row],[Kolumna2]]+Tabela1640392[[#This Row],[Kolumna2]]+Tabela1640424[[#This Row],[Kolumna2]]</f>
        <v>0</v>
      </c>
      <c r="D214" s="47">
        <f>Tabela1640[[#This Row],[Kolumna3]]+Tabela164078[[#This Row],[Kolumna3]]+Tabela1640110[[#This Row],[Kolumna3]]+Tabela1640142[[#This Row],[Kolumna3]]+Tabela1640174[[#This Row],[Kolumna3]]+Tabela1640206[[#This Row],[Kolumna3]]+Tabela1640238[[#This Row],[Kolumna3]]+Tabela1640270[[#This Row],[Kolumna3]]+Tabela1640302[[#This Row],[Kolumna3]]+Tabela1640334[[#This Row],[Kolumna3]]+Tabela1640392[[#This Row],[Kolumna3]]+Tabela1640424[[#This Row],[Kolumna3]]</f>
        <v>0</v>
      </c>
      <c r="E214" s="20">
        <f t="shared" si="23"/>
        <v>0</v>
      </c>
      <c r="F214" s="53" t="str">
        <f t="shared" si="24"/>
        <v/>
      </c>
      <c r="G214" s="54"/>
      <c r="I214" s="25"/>
      <c r="J214" s="25"/>
    </row>
    <row r="215" spans="2:10" x14ac:dyDescent="0.2">
      <c r="B215" s="22" t="str">
        <f>'Wzorzec kategorii'!B177</f>
        <v>.</v>
      </c>
      <c r="C215" s="47">
        <f>Tabela1640[[#This Row],[Kolumna2]]+Tabela164078[[#This Row],[Kolumna2]]+Tabela1640110[[#This Row],[Kolumna2]]+Tabela1640142[[#This Row],[Kolumna2]]+Tabela1640174[[#This Row],[Kolumna2]]+Tabela1640206[[#This Row],[Kolumna2]]+Tabela1640238[[#This Row],[Kolumna2]]+Tabela1640270[[#This Row],[Kolumna2]]+Tabela1640302[[#This Row],[Kolumna2]]+Tabela1640334[[#This Row],[Kolumna2]]+Tabela1640392[[#This Row],[Kolumna2]]+Tabela1640424[[#This Row],[Kolumna2]]</f>
        <v>0</v>
      </c>
      <c r="D215" s="47">
        <f>Tabela1640[[#This Row],[Kolumna3]]+Tabela164078[[#This Row],[Kolumna3]]+Tabela1640110[[#This Row],[Kolumna3]]+Tabela1640142[[#This Row],[Kolumna3]]+Tabela1640174[[#This Row],[Kolumna3]]+Tabela1640206[[#This Row],[Kolumna3]]+Tabela1640238[[#This Row],[Kolumna3]]+Tabela1640270[[#This Row],[Kolumna3]]+Tabela1640302[[#This Row],[Kolumna3]]+Tabela1640334[[#This Row],[Kolumna3]]+Tabela1640392[[#This Row],[Kolumna3]]+Tabela1640424[[#This Row],[Kolumna3]]</f>
        <v>0</v>
      </c>
      <c r="E215" s="20">
        <f t="shared" si="23"/>
        <v>0</v>
      </c>
      <c r="F215" s="53" t="str">
        <f t="shared" si="24"/>
        <v/>
      </c>
      <c r="G215" s="54"/>
      <c r="I215" s="25"/>
      <c r="J215" s="25"/>
    </row>
    <row r="217" spans="2:10" x14ac:dyDescent="0.2">
      <c r="B217" s="2" t="str">
        <f>'Wzorzec kategorii'!B179</f>
        <v>INNE 1</v>
      </c>
      <c r="C217" s="3">
        <f>SUM(Tabela164058468[[#All],[Kolumna2]])</f>
        <v>0</v>
      </c>
      <c r="D217" s="16">
        <f>SUM(Tabela164058468[[#All],[Kolumna3]])</f>
        <v>0</v>
      </c>
      <c r="E217" s="3">
        <f>C217-D217</f>
        <v>0</v>
      </c>
      <c r="F217" s="17" t="str">
        <f>IFERROR(D217/C217,"")</f>
        <v/>
      </c>
      <c r="G217" s="3"/>
    </row>
    <row r="218" spans="2:10" x14ac:dyDescent="0.2">
      <c r="B218" s="22" t="str">
        <f>'Wzorzec kategorii'!B180</f>
        <v>.</v>
      </c>
      <c r="C218" s="47">
        <f>Tabela164058[[#This Row],[Kolumna2]]+Tabela16405890[[#This Row],[Kolumna2]]+Tabela164058122[[#This Row],[Kolumna2]]+Tabela164058154[[#This Row],[Kolumna2]]+Tabela164058186[[#This Row],[Kolumna2]]+Tabela164058218[[#This Row],[Kolumna2]]+Tabela164058250[[#This Row],[Kolumna2]]+Tabela164058282[[#This Row],[Kolumna2]]+Tabela164058314[[#This Row],[Kolumna2]]+Tabela164058346[[#This Row],[Kolumna2]]+Tabela164058404[[#This Row],[Kolumna2]]+Tabela164058436[[#This Row],[Kolumna2]]</f>
        <v>0</v>
      </c>
      <c r="D218" s="47">
        <f>Tabela164058[[#This Row],[Kolumna3]]+Tabela16405890[[#This Row],[Kolumna3]]+Tabela164058122[[#This Row],[Kolumna3]]+Tabela164058154[[#This Row],[Kolumna3]]+Tabela164058186[[#This Row],[Kolumna3]]+Tabela164058218[[#This Row],[Kolumna3]]+Tabela164058250[[#This Row],[Kolumna3]]+Tabela164058282[[#This Row],[Kolumna3]]+Tabela164058314[[#This Row],[Kolumna3]]+Tabela164058346[[#This Row],[Kolumna3]]+Tabela164058404[[#This Row],[Kolumna3]]+Tabela164058436[[#This Row],[Kolumna3]]</f>
        <v>0</v>
      </c>
      <c r="E218" s="20">
        <f t="shared" ref="E218:E227" si="25">C218-D218</f>
        <v>0</v>
      </c>
      <c r="F218" s="21" t="str">
        <f t="shared" ref="F218:F227" si="26">IFERROR(D218/C218,"")</f>
        <v/>
      </c>
      <c r="G218" s="24"/>
    </row>
    <row r="219" spans="2:10" x14ac:dyDescent="0.2">
      <c r="B219" s="22" t="str">
        <f>'Wzorzec kategorii'!B181</f>
        <v>.</v>
      </c>
      <c r="C219" s="47">
        <f>Tabela164058[[#This Row],[Kolumna2]]+Tabela16405890[[#This Row],[Kolumna2]]+Tabela164058122[[#This Row],[Kolumna2]]+Tabela164058154[[#This Row],[Kolumna2]]+Tabela164058186[[#This Row],[Kolumna2]]+Tabela164058218[[#This Row],[Kolumna2]]+Tabela164058250[[#This Row],[Kolumna2]]+Tabela164058282[[#This Row],[Kolumna2]]+Tabela164058314[[#This Row],[Kolumna2]]+Tabela164058346[[#This Row],[Kolumna2]]+Tabela164058404[[#This Row],[Kolumna2]]+Tabela164058436[[#This Row],[Kolumna2]]</f>
        <v>0</v>
      </c>
      <c r="D219" s="47">
        <f>Tabela164058[[#This Row],[Kolumna3]]+Tabela16405890[[#This Row],[Kolumna3]]+Tabela164058122[[#This Row],[Kolumna3]]+Tabela164058154[[#This Row],[Kolumna3]]+Tabela164058186[[#This Row],[Kolumna3]]+Tabela164058218[[#This Row],[Kolumna3]]+Tabela164058250[[#This Row],[Kolumna3]]+Tabela164058282[[#This Row],[Kolumna3]]+Tabela164058314[[#This Row],[Kolumna3]]+Tabela164058346[[#This Row],[Kolumna3]]+Tabela164058404[[#This Row],[Kolumna3]]+Tabela164058436[[#This Row],[Kolumna3]]</f>
        <v>0</v>
      </c>
      <c r="E219" s="20">
        <f t="shared" si="25"/>
        <v>0</v>
      </c>
      <c r="F219" s="21" t="str">
        <f t="shared" si="26"/>
        <v/>
      </c>
      <c r="G219" s="24"/>
    </row>
    <row r="220" spans="2:10" x14ac:dyDescent="0.2">
      <c r="B220" s="22" t="str">
        <f>'Wzorzec kategorii'!B182</f>
        <v>.</v>
      </c>
      <c r="C220" s="47">
        <f>Tabela164058[[#This Row],[Kolumna2]]+Tabela16405890[[#This Row],[Kolumna2]]+Tabela164058122[[#This Row],[Kolumna2]]+Tabela164058154[[#This Row],[Kolumna2]]+Tabela164058186[[#This Row],[Kolumna2]]+Tabela164058218[[#This Row],[Kolumna2]]+Tabela164058250[[#This Row],[Kolumna2]]+Tabela164058282[[#This Row],[Kolumna2]]+Tabela164058314[[#This Row],[Kolumna2]]+Tabela164058346[[#This Row],[Kolumna2]]+Tabela164058404[[#This Row],[Kolumna2]]+Tabela164058436[[#This Row],[Kolumna2]]</f>
        <v>0</v>
      </c>
      <c r="D220" s="47">
        <f>Tabela164058[[#This Row],[Kolumna3]]+Tabela16405890[[#This Row],[Kolumna3]]+Tabela164058122[[#This Row],[Kolumna3]]+Tabela164058154[[#This Row],[Kolumna3]]+Tabela164058186[[#This Row],[Kolumna3]]+Tabela164058218[[#This Row],[Kolumna3]]+Tabela164058250[[#This Row],[Kolumna3]]+Tabela164058282[[#This Row],[Kolumna3]]+Tabela164058314[[#This Row],[Kolumna3]]+Tabela164058346[[#This Row],[Kolumna3]]+Tabela164058404[[#This Row],[Kolumna3]]+Tabela164058436[[#This Row],[Kolumna3]]</f>
        <v>0</v>
      </c>
      <c r="E220" s="20">
        <f t="shared" si="25"/>
        <v>0</v>
      </c>
      <c r="F220" s="21" t="str">
        <f t="shared" si="26"/>
        <v/>
      </c>
      <c r="G220" s="24"/>
    </row>
    <row r="221" spans="2:10" x14ac:dyDescent="0.2">
      <c r="B221" s="22" t="str">
        <f>'Wzorzec kategorii'!B183</f>
        <v>.</v>
      </c>
      <c r="C221" s="47">
        <f>Tabela164058[[#This Row],[Kolumna2]]+Tabela16405890[[#This Row],[Kolumna2]]+Tabela164058122[[#This Row],[Kolumna2]]+Tabela164058154[[#This Row],[Kolumna2]]+Tabela164058186[[#This Row],[Kolumna2]]+Tabela164058218[[#This Row],[Kolumna2]]+Tabela164058250[[#This Row],[Kolumna2]]+Tabela164058282[[#This Row],[Kolumna2]]+Tabela164058314[[#This Row],[Kolumna2]]+Tabela164058346[[#This Row],[Kolumna2]]+Tabela164058404[[#This Row],[Kolumna2]]+Tabela164058436[[#This Row],[Kolumna2]]</f>
        <v>0</v>
      </c>
      <c r="D221" s="47">
        <f>Tabela164058[[#This Row],[Kolumna3]]+Tabela16405890[[#This Row],[Kolumna3]]+Tabela164058122[[#This Row],[Kolumna3]]+Tabela164058154[[#This Row],[Kolumna3]]+Tabela164058186[[#This Row],[Kolumna3]]+Tabela164058218[[#This Row],[Kolumna3]]+Tabela164058250[[#This Row],[Kolumna3]]+Tabela164058282[[#This Row],[Kolumna3]]+Tabela164058314[[#This Row],[Kolumna3]]+Tabela164058346[[#This Row],[Kolumna3]]+Tabela164058404[[#This Row],[Kolumna3]]+Tabela164058436[[#This Row],[Kolumna3]]</f>
        <v>0</v>
      </c>
      <c r="E221" s="20">
        <f t="shared" si="25"/>
        <v>0</v>
      </c>
      <c r="F221" s="21" t="str">
        <f t="shared" si="26"/>
        <v/>
      </c>
      <c r="G221" s="24"/>
    </row>
    <row r="222" spans="2:10" x14ac:dyDescent="0.2">
      <c r="B222" s="22" t="str">
        <f>'Wzorzec kategorii'!B184</f>
        <v>.</v>
      </c>
      <c r="C222" s="47">
        <f>Tabela164058[[#This Row],[Kolumna2]]+Tabela16405890[[#This Row],[Kolumna2]]+Tabela164058122[[#This Row],[Kolumna2]]+Tabela164058154[[#This Row],[Kolumna2]]+Tabela164058186[[#This Row],[Kolumna2]]+Tabela164058218[[#This Row],[Kolumna2]]+Tabela164058250[[#This Row],[Kolumna2]]+Tabela164058282[[#This Row],[Kolumna2]]+Tabela164058314[[#This Row],[Kolumna2]]+Tabela164058346[[#This Row],[Kolumna2]]+Tabela164058404[[#This Row],[Kolumna2]]+Tabela164058436[[#This Row],[Kolumna2]]</f>
        <v>0</v>
      </c>
      <c r="D222" s="47">
        <f>Tabela164058[[#This Row],[Kolumna3]]+Tabela16405890[[#This Row],[Kolumna3]]+Tabela164058122[[#This Row],[Kolumna3]]+Tabela164058154[[#This Row],[Kolumna3]]+Tabela164058186[[#This Row],[Kolumna3]]+Tabela164058218[[#This Row],[Kolumna3]]+Tabela164058250[[#This Row],[Kolumna3]]+Tabela164058282[[#This Row],[Kolumna3]]+Tabela164058314[[#This Row],[Kolumna3]]+Tabela164058346[[#This Row],[Kolumna3]]+Tabela164058404[[#This Row],[Kolumna3]]+Tabela164058436[[#This Row],[Kolumna3]]</f>
        <v>0</v>
      </c>
      <c r="E222" s="20">
        <f t="shared" si="25"/>
        <v>0</v>
      </c>
      <c r="F222" s="21" t="str">
        <f t="shared" si="26"/>
        <v/>
      </c>
      <c r="G222" s="24"/>
    </row>
    <row r="223" spans="2:10" x14ac:dyDescent="0.2">
      <c r="B223" s="22" t="str">
        <f>'Wzorzec kategorii'!B185</f>
        <v>.</v>
      </c>
      <c r="C223" s="47">
        <f>Tabela164058[[#This Row],[Kolumna2]]+Tabela16405890[[#This Row],[Kolumna2]]+Tabela164058122[[#This Row],[Kolumna2]]+Tabela164058154[[#This Row],[Kolumna2]]+Tabela164058186[[#This Row],[Kolumna2]]+Tabela164058218[[#This Row],[Kolumna2]]+Tabela164058250[[#This Row],[Kolumna2]]+Tabela164058282[[#This Row],[Kolumna2]]+Tabela164058314[[#This Row],[Kolumna2]]+Tabela164058346[[#This Row],[Kolumna2]]+Tabela164058404[[#This Row],[Kolumna2]]+Tabela164058436[[#This Row],[Kolumna2]]</f>
        <v>0</v>
      </c>
      <c r="D223" s="47">
        <f>Tabela164058[[#This Row],[Kolumna3]]+Tabela16405890[[#This Row],[Kolumna3]]+Tabela164058122[[#This Row],[Kolumna3]]+Tabela164058154[[#This Row],[Kolumna3]]+Tabela164058186[[#This Row],[Kolumna3]]+Tabela164058218[[#This Row],[Kolumna3]]+Tabela164058250[[#This Row],[Kolumna3]]+Tabela164058282[[#This Row],[Kolumna3]]+Tabela164058314[[#This Row],[Kolumna3]]+Tabela164058346[[#This Row],[Kolumna3]]+Tabela164058404[[#This Row],[Kolumna3]]+Tabela164058436[[#This Row],[Kolumna3]]</f>
        <v>0</v>
      </c>
      <c r="E223" s="20">
        <f t="shared" si="25"/>
        <v>0</v>
      </c>
      <c r="F223" s="21" t="str">
        <f t="shared" si="26"/>
        <v/>
      </c>
      <c r="G223" s="24"/>
    </row>
    <row r="224" spans="2:10" x14ac:dyDescent="0.2">
      <c r="B224" s="22" t="str">
        <f>'Wzorzec kategorii'!B186</f>
        <v>.</v>
      </c>
      <c r="C224" s="47">
        <f>Tabela164058[[#This Row],[Kolumna2]]+Tabela16405890[[#This Row],[Kolumna2]]+Tabela164058122[[#This Row],[Kolumna2]]+Tabela164058154[[#This Row],[Kolumna2]]+Tabela164058186[[#This Row],[Kolumna2]]+Tabela164058218[[#This Row],[Kolumna2]]+Tabela164058250[[#This Row],[Kolumna2]]+Tabela164058282[[#This Row],[Kolumna2]]+Tabela164058314[[#This Row],[Kolumna2]]+Tabela164058346[[#This Row],[Kolumna2]]+Tabela164058404[[#This Row],[Kolumna2]]+Tabela164058436[[#This Row],[Kolumna2]]</f>
        <v>0</v>
      </c>
      <c r="D224" s="47">
        <f>Tabela164058[[#This Row],[Kolumna3]]+Tabela16405890[[#This Row],[Kolumna3]]+Tabela164058122[[#This Row],[Kolumna3]]+Tabela164058154[[#This Row],[Kolumna3]]+Tabela164058186[[#This Row],[Kolumna3]]+Tabela164058218[[#This Row],[Kolumna3]]+Tabela164058250[[#This Row],[Kolumna3]]+Tabela164058282[[#This Row],[Kolumna3]]+Tabela164058314[[#This Row],[Kolumna3]]+Tabela164058346[[#This Row],[Kolumna3]]+Tabela164058404[[#This Row],[Kolumna3]]+Tabela164058436[[#This Row],[Kolumna3]]</f>
        <v>0</v>
      </c>
      <c r="E224" s="20">
        <f t="shared" si="25"/>
        <v>0</v>
      </c>
      <c r="F224" s="21" t="str">
        <f t="shared" si="26"/>
        <v/>
      </c>
      <c r="G224" s="24"/>
    </row>
    <row r="225" spans="2:7" x14ac:dyDescent="0.2">
      <c r="B225" s="22" t="str">
        <f>'Wzorzec kategorii'!B187</f>
        <v>.</v>
      </c>
      <c r="C225" s="47">
        <f>Tabela164058[[#This Row],[Kolumna2]]+Tabela16405890[[#This Row],[Kolumna2]]+Tabela164058122[[#This Row],[Kolumna2]]+Tabela164058154[[#This Row],[Kolumna2]]+Tabela164058186[[#This Row],[Kolumna2]]+Tabela164058218[[#This Row],[Kolumna2]]+Tabela164058250[[#This Row],[Kolumna2]]+Tabela164058282[[#This Row],[Kolumna2]]+Tabela164058314[[#This Row],[Kolumna2]]+Tabela164058346[[#This Row],[Kolumna2]]+Tabela164058404[[#This Row],[Kolumna2]]+Tabela164058436[[#This Row],[Kolumna2]]</f>
        <v>0</v>
      </c>
      <c r="D225" s="47">
        <f>Tabela164058[[#This Row],[Kolumna3]]+Tabela16405890[[#This Row],[Kolumna3]]+Tabela164058122[[#This Row],[Kolumna3]]+Tabela164058154[[#This Row],[Kolumna3]]+Tabela164058186[[#This Row],[Kolumna3]]+Tabela164058218[[#This Row],[Kolumna3]]+Tabela164058250[[#This Row],[Kolumna3]]+Tabela164058282[[#This Row],[Kolumna3]]+Tabela164058314[[#This Row],[Kolumna3]]+Tabela164058346[[#This Row],[Kolumna3]]+Tabela164058404[[#This Row],[Kolumna3]]+Tabela164058436[[#This Row],[Kolumna3]]</f>
        <v>0</v>
      </c>
      <c r="E225" s="20">
        <f t="shared" si="25"/>
        <v>0</v>
      </c>
      <c r="F225" s="21" t="str">
        <f t="shared" si="26"/>
        <v/>
      </c>
      <c r="G225" s="24"/>
    </row>
    <row r="226" spans="2:7" x14ac:dyDescent="0.2">
      <c r="B226" s="22" t="str">
        <f>'Wzorzec kategorii'!B188</f>
        <v>.</v>
      </c>
      <c r="C226" s="47">
        <f>Tabela164058[[#This Row],[Kolumna2]]+Tabela16405890[[#This Row],[Kolumna2]]+Tabela164058122[[#This Row],[Kolumna2]]+Tabela164058154[[#This Row],[Kolumna2]]+Tabela164058186[[#This Row],[Kolumna2]]+Tabela164058218[[#This Row],[Kolumna2]]+Tabela164058250[[#This Row],[Kolumna2]]+Tabela164058282[[#This Row],[Kolumna2]]+Tabela164058314[[#This Row],[Kolumna2]]+Tabela164058346[[#This Row],[Kolumna2]]+Tabela164058404[[#This Row],[Kolumna2]]+Tabela164058436[[#This Row],[Kolumna2]]</f>
        <v>0</v>
      </c>
      <c r="D226" s="47">
        <f>Tabela164058[[#This Row],[Kolumna3]]+Tabela16405890[[#This Row],[Kolumna3]]+Tabela164058122[[#This Row],[Kolumna3]]+Tabela164058154[[#This Row],[Kolumna3]]+Tabela164058186[[#This Row],[Kolumna3]]+Tabela164058218[[#This Row],[Kolumna3]]+Tabela164058250[[#This Row],[Kolumna3]]+Tabela164058282[[#This Row],[Kolumna3]]+Tabela164058314[[#This Row],[Kolumna3]]+Tabela164058346[[#This Row],[Kolumna3]]+Tabela164058404[[#This Row],[Kolumna3]]+Tabela164058436[[#This Row],[Kolumna3]]</f>
        <v>0</v>
      </c>
      <c r="E226" s="20">
        <f t="shared" si="25"/>
        <v>0</v>
      </c>
      <c r="F226" s="53" t="str">
        <f t="shared" si="26"/>
        <v/>
      </c>
      <c r="G226" s="54"/>
    </row>
    <row r="227" spans="2:7" x14ac:dyDescent="0.2">
      <c r="B227" s="22" t="str">
        <f>'Wzorzec kategorii'!B189</f>
        <v>.</v>
      </c>
      <c r="C227" s="47">
        <f>Tabela164058[[#This Row],[Kolumna2]]+Tabela16405890[[#This Row],[Kolumna2]]+Tabela164058122[[#This Row],[Kolumna2]]+Tabela164058154[[#This Row],[Kolumna2]]+Tabela164058186[[#This Row],[Kolumna2]]+Tabela164058218[[#This Row],[Kolumna2]]+Tabela164058250[[#This Row],[Kolumna2]]+Tabela164058282[[#This Row],[Kolumna2]]+Tabela164058314[[#This Row],[Kolumna2]]+Tabela164058346[[#This Row],[Kolumna2]]+Tabela164058404[[#This Row],[Kolumna2]]+Tabela164058436[[#This Row],[Kolumna2]]</f>
        <v>0</v>
      </c>
      <c r="D227" s="47">
        <f>Tabela164058[[#This Row],[Kolumna3]]+Tabela16405890[[#This Row],[Kolumna3]]+Tabela164058122[[#This Row],[Kolumna3]]+Tabela164058154[[#This Row],[Kolumna3]]+Tabela164058186[[#This Row],[Kolumna3]]+Tabela164058218[[#This Row],[Kolumna3]]+Tabela164058250[[#This Row],[Kolumna3]]+Tabela164058282[[#This Row],[Kolumna3]]+Tabela164058314[[#This Row],[Kolumna3]]+Tabela164058346[[#This Row],[Kolumna3]]+Tabela164058404[[#This Row],[Kolumna3]]+Tabela164058436[[#This Row],[Kolumna3]]</f>
        <v>0</v>
      </c>
      <c r="E227" s="20">
        <f t="shared" si="25"/>
        <v>0</v>
      </c>
      <c r="F227" s="53" t="str">
        <f t="shared" si="26"/>
        <v/>
      </c>
      <c r="G227" s="54"/>
    </row>
    <row r="229" spans="2:7" x14ac:dyDescent="0.2">
      <c r="B229" s="2" t="str">
        <f>'Wzorzec kategorii'!B191</f>
        <v>INNE 2</v>
      </c>
      <c r="C229" s="3">
        <f>SUM(Tabela16405860470[[#All],[Kolumna2]])</f>
        <v>0</v>
      </c>
      <c r="D229" s="16">
        <f>SUM(Tabela16405860470[[#All],[Kolumna3]])</f>
        <v>0</v>
      </c>
      <c r="E229" s="3">
        <f>C229-D229</f>
        <v>0</v>
      </c>
      <c r="F229" s="17" t="str">
        <f>IFERROR(D229/C229,"")</f>
        <v/>
      </c>
      <c r="G229" s="3"/>
    </row>
    <row r="230" spans="2:7" x14ac:dyDescent="0.2">
      <c r="B230" s="22" t="str">
        <f>'Wzorzec kategorii'!B192</f>
        <v>.</v>
      </c>
      <c r="C230" s="47">
        <f>Tabela16405860[[#This Row],[Kolumna2]]+Tabela1640586092[[#This Row],[Kolumna2]]+Tabela16405860124[[#This Row],[Kolumna2]]+Tabela16405860156[[#This Row],[Kolumna2]]+Tabela16405860188[[#This Row],[Kolumna2]]+Tabela16405860220[[#This Row],[Kolumna2]]+Tabela16405860252[[#This Row],[Kolumna2]]+Tabela16405860284[[#This Row],[Kolumna2]]+Tabela16405860316[[#This Row],[Kolumna2]]+Tabela16405860348[[#This Row],[Kolumna2]]+Tabela16405860406[[#This Row],[Kolumna2]]+Tabela16405860438[[#This Row],[Kolumna2]]</f>
        <v>0</v>
      </c>
      <c r="D230" s="47">
        <f>Tabela16405860[[#This Row],[Kolumna3]]+Tabela1640586092[[#This Row],[Kolumna3]]+Tabela16405860124[[#This Row],[Kolumna3]]+Tabela16405860156[[#This Row],[Kolumna3]]+Tabela16405860188[[#This Row],[Kolumna3]]+Tabela16405860220[[#This Row],[Kolumna3]]+Tabela16405860252[[#This Row],[Kolumna3]]+Tabela16405860284[[#This Row],[Kolumna3]]+Tabela16405860316[[#This Row],[Kolumna3]]+Tabela16405860348[[#This Row],[Kolumna3]]+Tabela16405860406[[#This Row],[Kolumna3]]+Tabela16405860438[[#This Row],[Kolumna3]]</f>
        <v>0</v>
      </c>
      <c r="E230" s="20">
        <f t="shared" ref="E230:E239" si="27">C230-D230</f>
        <v>0</v>
      </c>
      <c r="F230" s="21" t="str">
        <f t="shared" ref="F230:F239" si="28">IFERROR(D230/C230,"")</f>
        <v/>
      </c>
      <c r="G230" s="24"/>
    </row>
    <row r="231" spans="2:7" x14ac:dyDescent="0.2">
      <c r="B231" s="22" t="str">
        <f>'Wzorzec kategorii'!B193</f>
        <v>.</v>
      </c>
      <c r="C231" s="47">
        <f>Tabela16405860[[#This Row],[Kolumna2]]+Tabela1640586092[[#This Row],[Kolumna2]]+Tabela16405860124[[#This Row],[Kolumna2]]+Tabela16405860156[[#This Row],[Kolumna2]]+Tabela16405860188[[#This Row],[Kolumna2]]+Tabela16405860220[[#This Row],[Kolumna2]]+Tabela16405860252[[#This Row],[Kolumna2]]+Tabela16405860284[[#This Row],[Kolumna2]]+Tabela16405860316[[#This Row],[Kolumna2]]+Tabela16405860348[[#This Row],[Kolumna2]]+Tabela16405860406[[#This Row],[Kolumna2]]+Tabela16405860438[[#This Row],[Kolumna2]]</f>
        <v>0</v>
      </c>
      <c r="D231" s="47">
        <f>Tabela16405860[[#This Row],[Kolumna3]]+Tabela1640586092[[#This Row],[Kolumna3]]+Tabela16405860124[[#This Row],[Kolumna3]]+Tabela16405860156[[#This Row],[Kolumna3]]+Tabela16405860188[[#This Row],[Kolumna3]]+Tabela16405860220[[#This Row],[Kolumna3]]+Tabela16405860252[[#This Row],[Kolumna3]]+Tabela16405860284[[#This Row],[Kolumna3]]+Tabela16405860316[[#This Row],[Kolumna3]]+Tabela16405860348[[#This Row],[Kolumna3]]+Tabela16405860406[[#This Row],[Kolumna3]]+Tabela16405860438[[#This Row],[Kolumna3]]</f>
        <v>0</v>
      </c>
      <c r="E231" s="20">
        <f t="shared" si="27"/>
        <v>0</v>
      </c>
      <c r="F231" s="21" t="str">
        <f t="shared" si="28"/>
        <v/>
      </c>
      <c r="G231" s="24"/>
    </row>
    <row r="232" spans="2:7" x14ac:dyDescent="0.2">
      <c r="B232" s="22" t="str">
        <f>'Wzorzec kategorii'!B194</f>
        <v>.</v>
      </c>
      <c r="C232" s="47">
        <f>Tabela16405860[[#This Row],[Kolumna2]]+Tabela1640586092[[#This Row],[Kolumna2]]+Tabela16405860124[[#This Row],[Kolumna2]]+Tabela16405860156[[#This Row],[Kolumna2]]+Tabela16405860188[[#This Row],[Kolumna2]]+Tabela16405860220[[#This Row],[Kolumna2]]+Tabela16405860252[[#This Row],[Kolumna2]]+Tabela16405860284[[#This Row],[Kolumna2]]+Tabela16405860316[[#This Row],[Kolumna2]]+Tabela16405860348[[#This Row],[Kolumna2]]+Tabela16405860406[[#This Row],[Kolumna2]]+Tabela16405860438[[#This Row],[Kolumna2]]</f>
        <v>0</v>
      </c>
      <c r="D232" s="47">
        <f>Tabela16405860[[#This Row],[Kolumna3]]+Tabela1640586092[[#This Row],[Kolumna3]]+Tabela16405860124[[#This Row],[Kolumna3]]+Tabela16405860156[[#This Row],[Kolumna3]]+Tabela16405860188[[#This Row],[Kolumna3]]+Tabela16405860220[[#This Row],[Kolumna3]]+Tabela16405860252[[#This Row],[Kolumna3]]+Tabela16405860284[[#This Row],[Kolumna3]]+Tabela16405860316[[#This Row],[Kolumna3]]+Tabela16405860348[[#This Row],[Kolumna3]]+Tabela16405860406[[#This Row],[Kolumna3]]+Tabela16405860438[[#This Row],[Kolumna3]]</f>
        <v>0</v>
      </c>
      <c r="E232" s="20">
        <f t="shared" si="27"/>
        <v>0</v>
      </c>
      <c r="F232" s="21" t="str">
        <f t="shared" si="28"/>
        <v/>
      </c>
      <c r="G232" s="24"/>
    </row>
    <row r="233" spans="2:7" x14ac:dyDescent="0.2">
      <c r="B233" s="22" t="str">
        <f>'Wzorzec kategorii'!B195</f>
        <v>.</v>
      </c>
      <c r="C233" s="47">
        <f>Tabela16405860[[#This Row],[Kolumna2]]+Tabela1640586092[[#This Row],[Kolumna2]]+Tabela16405860124[[#This Row],[Kolumna2]]+Tabela16405860156[[#This Row],[Kolumna2]]+Tabela16405860188[[#This Row],[Kolumna2]]+Tabela16405860220[[#This Row],[Kolumna2]]+Tabela16405860252[[#This Row],[Kolumna2]]+Tabela16405860284[[#This Row],[Kolumna2]]+Tabela16405860316[[#This Row],[Kolumna2]]+Tabela16405860348[[#This Row],[Kolumna2]]+Tabela16405860406[[#This Row],[Kolumna2]]+Tabela16405860438[[#This Row],[Kolumna2]]</f>
        <v>0</v>
      </c>
      <c r="D233" s="47">
        <f>Tabela16405860[[#This Row],[Kolumna3]]+Tabela1640586092[[#This Row],[Kolumna3]]+Tabela16405860124[[#This Row],[Kolumna3]]+Tabela16405860156[[#This Row],[Kolumna3]]+Tabela16405860188[[#This Row],[Kolumna3]]+Tabela16405860220[[#This Row],[Kolumna3]]+Tabela16405860252[[#This Row],[Kolumna3]]+Tabela16405860284[[#This Row],[Kolumna3]]+Tabela16405860316[[#This Row],[Kolumna3]]+Tabela16405860348[[#This Row],[Kolumna3]]+Tabela16405860406[[#This Row],[Kolumna3]]+Tabela16405860438[[#This Row],[Kolumna3]]</f>
        <v>0</v>
      </c>
      <c r="E233" s="20">
        <f t="shared" si="27"/>
        <v>0</v>
      </c>
      <c r="F233" s="21" t="str">
        <f t="shared" si="28"/>
        <v/>
      </c>
      <c r="G233" s="24"/>
    </row>
    <row r="234" spans="2:7" x14ac:dyDescent="0.2">
      <c r="B234" s="22" t="str">
        <f>'Wzorzec kategorii'!B196</f>
        <v>.</v>
      </c>
      <c r="C234" s="47">
        <f>Tabela16405860[[#This Row],[Kolumna2]]+Tabela1640586092[[#This Row],[Kolumna2]]+Tabela16405860124[[#This Row],[Kolumna2]]+Tabela16405860156[[#This Row],[Kolumna2]]+Tabela16405860188[[#This Row],[Kolumna2]]+Tabela16405860220[[#This Row],[Kolumna2]]+Tabela16405860252[[#This Row],[Kolumna2]]+Tabela16405860284[[#This Row],[Kolumna2]]+Tabela16405860316[[#This Row],[Kolumna2]]+Tabela16405860348[[#This Row],[Kolumna2]]+Tabela16405860406[[#This Row],[Kolumna2]]+Tabela16405860438[[#This Row],[Kolumna2]]</f>
        <v>0</v>
      </c>
      <c r="D234" s="47">
        <f>Tabela16405860[[#This Row],[Kolumna3]]+Tabela1640586092[[#This Row],[Kolumna3]]+Tabela16405860124[[#This Row],[Kolumna3]]+Tabela16405860156[[#This Row],[Kolumna3]]+Tabela16405860188[[#This Row],[Kolumna3]]+Tabela16405860220[[#This Row],[Kolumna3]]+Tabela16405860252[[#This Row],[Kolumna3]]+Tabela16405860284[[#This Row],[Kolumna3]]+Tabela16405860316[[#This Row],[Kolumna3]]+Tabela16405860348[[#This Row],[Kolumna3]]+Tabela16405860406[[#This Row],[Kolumna3]]+Tabela16405860438[[#This Row],[Kolumna3]]</f>
        <v>0</v>
      </c>
      <c r="E234" s="20">
        <f t="shared" si="27"/>
        <v>0</v>
      </c>
      <c r="F234" s="21" t="str">
        <f t="shared" si="28"/>
        <v/>
      </c>
      <c r="G234" s="24"/>
    </row>
    <row r="235" spans="2:7" x14ac:dyDescent="0.2">
      <c r="B235" s="22" t="str">
        <f>'Wzorzec kategorii'!B197</f>
        <v>.</v>
      </c>
      <c r="C235" s="47">
        <f>Tabela16405860[[#This Row],[Kolumna2]]+Tabela1640586092[[#This Row],[Kolumna2]]+Tabela16405860124[[#This Row],[Kolumna2]]+Tabela16405860156[[#This Row],[Kolumna2]]+Tabela16405860188[[#This Row],[Kolumna2]]+Tabela16405860220[[#This Row],[Kolumna2]]+Tabela16405860252[[#This Row],[Kolumna2]]+Tabela16405860284[[#This Row],[Kolumna2]]+Tabela16405860316[[#This Row],[Kolumna2]]+Tabela16405860348[[#This Row],[Kolumna2]]+Tabela16405860406[[#This Row],[Kolumna2]]+Tabela16405860438[[#This Row],[Kolumna2]]</f>
        <v>0</v>
      </c>
      <c r="D235" s="47">
        <f>Tabela16405860[[#This Row],[Kolumna3]]+Tabela1640586092[[#This Row],[Kolumna3]]+Tabela16405860124[[#This Row],[Kolumna3]]+Tabela16405860156[[#This Row],[Kolumna3]]+Tabela16405860188[[#This Row],[Kolumna3]]+Tabela16405860220[[#This Row],[Kolumna3]]+Tabela16405860252[[#This Row],[Kolumna3]]+Tabela16405860284[[#This Row],[Kolumna3]]+Tabela16405860316[[#This Row],[Kolumna3]]+Tabela16405860348[[#This Row],[Kolumna3]]+Tabela16405860406[[#This Row],[Kolumna3]]+Tabela16405860438[[#This Row],[Kolumna3]]</f>
        <v>0</v>
      </c>
      <c r="E235" s="20">
        <f t="shared" si="27"/>
        <v>0</v>
      </c>
      <c r="F235" s="21" t="str">
        <f t="shared" si="28"/>
        <v/>
      </c>
      <c r="G235" s="24"/>
    </row>
    <row r="236" spans="2:7" x14ac:dyDescent="0.2">
      <c r="B236" s="22" t="str">
        <f>'Wzorzec kategorii'!B198</f>
        <v>.</v>
      </c>
      <c r="C236" s="47">
        <f>Tabela16405860[[#This Row],[Kolumna2]]+Tabela1640586092[[#This Row],[Kolumna2]]+Tabela16405860124[[#This Row],[Kolumna2]]+Tabela16405860156[[#This Row],[Kolumna2]]+Tabela16405860188[[#This Row],[Kolumna2]]+Tabela16405860220[[#This Row],[Kolumna2]]+Tabela16405860252[[#This Row],[Kolumna2]]+Tabela16405860284[[#This Row],[Kolumna2]]+Tabela16405860316[[#This Row],[Kolumna2]]+Tabela16405860348[[#This Row],[Kolumna2]]+Tabela16405860406[[#This Row],[Kolumna2]]+Tabela16405860438[[#This Row],[Kolumna2]]</f>
        <v>0</v>
      </c>
      <c r="D236" s="47">
        <f>Tabela16405860[[#This Row],[Kolumna3]]+Tabela1640586092[[#This Row],[Kolumna3]]+Tabela16405860124[[#This Row],[Kolumna3]]+Tabela16405860156[[#This Row],[Kolumna3]]+Tabela16405860188[[#This Row],[Kolumna3]]+Tabela16405860220[[#This Row],[Kolumna3]]+Tabela16405860252[[#This Row],[Kolumna3]]+Tabela16405860284[[#This Row],[Kolumna3]]+Tabela16405860316[[#This Row],[Kolumna3]]+Tabela16405860348[[#This Row],[Kolumna3]]+Tabela16405860406[[#This Row],[Kolumna3]]+Tabela16405860438[[#This Row],[Kolumna3]]</f>
        <v>0</v>
      </c>
      <c r="E236" s="20">
        <f t="shared" si="27"/>
        <v>0</v>
      </c>
      <c r="F236" s="21" t="str">
        <f t="shared" si="28"/>
        <v/>
      </c>
      <c r="G236" s="24"/>
    </row>
    <row r="237" spans="2:7" x14ac:dyDescent="0.2">
      <c r="B237" s="22" t="str">
        <f>'Wzorzec kategorii'!B199</f>
        <v>.</v>
      </c>
      <c r="C237" s="47">
        <f>Tabela16405860[[#This Row],[Kolumna2]]+Tabela1640586092[[#This Row],[Kolumna2]]+Tabela16405860124[[#This Row],[Kolumna2]]+Tabela16405860156[[#This Row],[Kolumna2]]+Tabela16405860188[[#This Row],[Kolumna2]]+Tabela16405860220[[#This Row],[Kolumna2]]+Tabela16405860252[[#This Row],[Kolumna2]]+Tabela16405860284[[#This Row],[Kolumna2]]+Tabela16405860316[[#This Row],[Kolumna2]]+Tabela16405860348[[#This Row],[Kolumna2]]+Tabela16405860406[[#This Row],[Kolumna2]]+Tabela16405860438[[#This Row],[Kolumna2]]</f>
        <v>0</v>
      </c>
      <c r="D237" s="47">
        <f>Tabela16405860[[#This Row],[Kolumna3]]+Tabela1640586092[[#This Row],[Kolumna3]]+Tabela16405860124[[#This Row],[Kolumna3]]+Tabela16405860156[[#This Row],[Kolumna3]]+Tabela16405860188[[#This Row],[Kolumna3]]+Tabela16405860220[[#This Row],[Kolumna3]]+Tabela16405860252[[#This Row],[Kolumna3]]+Tabela16405860284[[#This Row],[Kolumna3]]+Tabela16405860316[[#This Row],[Kolumna3]]+Tabela16405860348[[#This Row],[Kolumna3]]+Tabela16405860406[[#This Row],[Kolumna3]]+Tabela16405860438[[#This Row],[Kolumna3]]</f>
        <v>0</v>
      </c>
      <c r="E237" s="20">
        <f t="shared" si="27"/>
        <v>0</v>
      </c>
      <c r="F237" s="21" t="str">
        <f t="shared" si="28"/>
        <v/>
      </c>
      <c r="G237" s="24"/>
    </row>
    <row r="238" spans="2:7" x14ac:dyDescent="0.2">
      <c r="B238" s="22" t="str">
        <f>'Wzorzec kategorii'!B200</f>
        <v>.</v>
      </c>
      <c r="C238" s="47">
        <f>Tabela16405860[[#This Row],[Kolumna2]]+Tabela1640586092[[#This Row],[Kolumna2]]+Tabela16405860124[[#This Row],[Kolumna2]]+Tabela16405860156[[#This Row],[Kolumna2]]+Tabela16405860188[[#This Row],[Kolumna2]]+Tabela16405860220[[#This Row],[Kolumna2]]+Tabela16405860252[[#This Row],[Kolumna2]]+Tabela16405860284[[#This Row],[Kolumna2]]+Tabela16405860316[[#This Row],[Kolumna2]]+Tabela16405860348[[#This Row],[Kolumna2]]+Tabela16405860406[[#This Row],[Kolumna2]]+Tabela16405860438[[#This Row],[Kolumna2]]</f>
        <v>0</v>
      </c>
      <c r="D238" s="47">
        <f>Tabela16405860[[#This Row],[Kolumna3]]+Tabela1640586092[[#This Row],[Kolumna3]]+Tabela16405860124[[#This Row],[Kolumna3]]+Tabela16405860156[[#This Row],[Kolumna3]]+Tabela16405860188[[#This Row],[Kolumna3]]+Tabela16405860220[[#This Row],[Kolumna3]]+Tabela16405860252[[#This Row],[Kolumna3]]+Tabela16405860284[[#This Row],[Kolumna3]]+Tabela16405860316[[#This Row],[Kolumna3]]+Tabela16405860348[[#This Row],[Kolumna3]]+Tabela16405860406[[#This Row],[Kolumna3]]+Tabela16405860438[[#This Row],[Kolumna3]]</f>
        <v>0</v>
      </c>
      <c r="E238" s="20">
        <f t="shared" si="27"/>
        <v>0</v>
      </c>
      <c r="F238" s="53" t="str">
        <f t="shared" si="28"/>
        <v/>
      </c>
      <c r="G238" s="54"/>
    </row>
    <row r="239" spans="2:7" x14ac:dyDescent="0.2">
      <c r="B239" s="22" t="str">
        <f>'Wzorzec kategorii'!B201</f>
        <v>.</v>
      </c>
      <c r="C239" s="47">
        <f>Tabela16405860[[#This Row],[Kolumna2]]+Tabela1640586092[[#This Row],[Kolumna2]]+Tabela16405860124[[#This Row],[Kolumna2]]+Tabela16405860156[[#This Row],[Kolumna2]]+Tabela16405860188[[#This Row],[Kolumna2]]+Tabela16405860220[[#This Row],[Kolumna2]]+Tabela16405860252[[#This Row],[Kolumna2]]+Tabela16405860284[[#This Row],[Kolumna2]]+Tabela16405860316[[#This Row],[Kolumna2]]+Tabela16405860348[[#This Row],[Kolumna2]]+Tabela16405860406[[#This Row],[Kolumna2]]+Tabela16405860438[[#This Row],[Kolumna2]]</f>
        <v>0</v>
      </c>
      <c r="D239" s="47">
        <f>Tabela16405860[[#This Row],[Kolumna3]]+Tabela1640586092[[#This Row],[Kolumna3]]+Tabela16405860124[[#This Row],[Kolumna3]]+Tabela16405860156[[#This Row],[Kolumna3]]+Tabela16405860188[[#This Row],[Kolumna3]]+Tabela16405860220[[#This Row],[Kolumna3]]+Tabela16405860252[[#This Row],[Kolumna3]]+Tabela16405860284[[#This Row],[Kolumna3]]+Tabela16405860316[[#This Row],[Kolumna3]]+Tabela16405860348[[#This Row],[Kolumna3]]+Tabela16405860406[[#This Row],[Kolumna3]]+Tabela16405860438[[#This Row],[Kolumna3]]</f>
        <v>0</v>
      </c>
      <c r="E239" s="20">
        <f t="shared" si="27"/>
        <v>0</v>
      </c>
      <c r="F239" s="53" t="str">
        <f t="shared" si="28"/>
        <v/>
      </c>
      <c r="G239" s="54"/>
    </row>
    <row r="241" spans="2:7" x14ac:dyDescent="0.2">
      <c r="B241" s="2" t="str">
        <f>'Wzorzec kategorii'!B203</f>
        <v>INNE 3</v>
      </c>
      <c r="C241" s="3">
        <f>SUM(Tabela1640586061471[[#All],[Kolumna2]])</f>
        <v>0</v>
      </c>
      <c r="D241" s="16">
        <f>SUM(Tabela1640586061471[[#All],[Kolumna3]])</f>
        <v>0</v>
      </c>
      <c r="E241" s="3">
        <f>C241-D241</f>
        <v>0</v>
      </c>
      <c r="F241" s="17" t="str">
        <f>IFERROR(D241/C241,"")</f>
        <v/>
      </c>
      <c r="G241" s="3"/>
    </row>
    <row r="242" spans="2:7" x14ac:dyDescent="0.2">
      <c r="B242" s="22" t="str">
        <f>'Wzorzec kategorii'!B204</f>
        <v>.</v>
      </c>
      <c r="C242" s="47">
        <f>Tabela1640586061[[#This Row],[Kolumna2]]+Tabela164058606193[[#This Row],[Kolumna2]]+Tabela1640586061125[[#This Row],[Kolumna2]]+Tabela1640586061157[[#This Row],[Kolumna2]]+Tabela1640586061189[[#This Row],[Kolumna2]]+Tabela1640586061221[[#This Row],[Kolumna2]]+Tabela1640586061253[[#This Row],[Kolumna2]]+Tabela1640586061285[[#This Row],[Kolumna2]]+Tabela1640586061317[[#This Row],[Kolumna2]]+Tabela1640586061349[[#This Row],[Kolumna2]]+Tabela1640586061407[[#This Row],[Kolumna2]]+Tabela1640586061439[[#This Row],[Kolumna2]]</f>
        <v>0</v>
      </c>
      <c r="D242" s="47">
        <f>Tabela1640586061[[#This Row],[Kolumna3]]+Tabela164058606193[[#This Row],[Kolumna3]]+Tabela1640586061125[[#This Row],[Kolumna3]]+Tabela1640586061157[[#This Row],[Kolumna3]]+Tabela1640586061189[[#This Row],[Kolumna3]]+Tabela1640586061221[[#This Row],[Kolumna3]]+Tabela1640586061253[[#This Row],[Kolumna3]]+Tabela1640586061285[[#This Row],[Kolumna3]]+Tabela1640586061317[[#This Row],[Kolumna3]]+Tabela1640586061349[[#This Row],[Kolumna3]]+Tabela1640586061407[[#This Row],[Kolumna3]]+Tabela1640586061439[[#This Row],[Kolumna3]]</f>
        <v>0</v>
      </c>
      <c r="E242" s="20">
        <f t="shared" ref="E242:E251" si="29">C242-D242</f>
        <v>0</v>
      </c>
      <c r="F242" s="21" t="str">
        <f t="shared" ref="F242:F251" si="30">IFERROR(D242/C242,"")</f>
        <v/>
      </c>
      <c r="G242" s="24"/>
    </row>
    <row r="243" spans="2:7" x14ac:dyDescent="0.2">
      <c r="B243" s="22" t="str">
        <f>'Wzorzec kategorii'!B205</f>
        <v>.</v>
      </c>
      <c r="C243" s="47">
        <f>Tabela1640586061[[#This Row],[Kolumna2]]+Tabela164058606193[[#This Row],[Kolumna2]]+Tabela1640586061125[[#This Row],[Kolumna2]]+Tabela1640586061157[[#This Row],[Kolumna2]]+Tabela1640586061189[[#This Row],[Kolumna2]]+Tabela1640586061221[[#This Row],[Kolumna2]]+Tabela1640586061253[[#This Row],[Kolumna2]]+Tabela1640586061285[[#This Row],[Kolumna2]]+Tabela1640586061317[[#This Row],[Kolumna2]]+Tabela1640586061349[[#This Row],[Kolumna2]]+Tabela1640586061407[[#This Row],[Kolumna2]]+Tabela1640586061439[[#This Row],[Kolumna2]]</f>
        <v>0</v>
      </c>
      <c r="D243" s="47">
        <f>Tabela1640586061[[#This Row],[Kolumna3]]+Tabela164058606193[[#This Row],[Kolumna3]]+Tabela1640586061125[[#This Row],[Kolumna3]]+Tabela1640586061157[[#This Row],[Kolumna3]]+Tabela1640586061189[[#This Row],[Kolumna3]]+Tabela1640586061221[[#This Row],[Kolumna3]]+Tabela1640586061253[[#This Row],[Kolumna3]]+Tabela1640586061285[[#This Row],[Kolumna3]]+Tabela1640586061317[[#This Row],[Kolumna3]]+Tabela1640586061349[[#This Row],[Kolumna3]]+Tabela1640586061407[[#This Row],[Kolumna3]]+Tabela1640586061439[[#This Row],[Kolumna3]]</f>
        <v>0</v>
      </c>
      <c r="E243" s="20">
        <f t="shared" si="29"/>
        <v>0</v>
      </c>
      <c r="F243" s="21" t="str">
        <f t="shared" si="30"/>
        <v/>
      </c>
      <c r="G243" s="24"/>
    </row>
    <row r="244" spans="2:7" x14ac:dyDescent="0.2">
      <c r="B244" s="22" t="str">
        <f>'Wzorzec kategorii'!B206</f>
        <v>.</v>
      </c>
      <c r="C244" s="47">
        <f>Tabela1640586061[[#This Row],[Kolumna2]]+Tabela164058606193[[#This Row],[Kolumna2]]+Tabela1640586061125[[#This Row],[Kolumna2]]+Tabela1640586061157[[#This Row],[Kolumna2]]+Tabela1640586061189[[#This Row],[Kolumna2]]+Tabela1640586061221[[#This Row],[Kolumna2]]+Tabela1640586061253[[#This Row],[Kolumna2]]+Tabela1640586061285[[#This Row],[Kolumna2]]+Tabela1640586061317[[#This Row],[Kolumna2]]+Tabela1640586061349[[#This Row],[Kolumna2]]+Tabela1640586061407[[#This Row],[Kolumna2]]+Tabela1640586061439[[#This Row],[Kolumna2]]</f>
        <v>0</v>
      </c>
      <c r="D244" s="47">
        <f>Tabela1640586061[[#This Row],[Kolumna3]]+Tabela164058606193[[#This Row],[Kolumna3]]+Tabela1640586061125[[#This Row],[Kolumna3]]+Tabela1640586061157[[#This Row],[Kolumna3]]+Tabela1640586061189[[#This Row],[Kolumna3]]+Tabela1640586061221[[#This Row],[Kolumna3]]+Tabela1640586061253[[#This Row],[Kolumna3]]+Tabela1640586061285[[#This Row],[Kolumna3]]+Tabela1640586061317[[#This Row],[Kolumna3]]+Tabela1640586061349[[#This Row],[Kolumna3]]+Tabela1640586061407[[#This Row],[Kolumna3]]+Tabela1640586061439[[#This Row],[Kolumna3]]</f>
        <v>0</v>
      </c>
      <c r="E244" s="20">
        <f t="shared" si="29"/>
        <v>0</v>
      </c>
      <c r="F244" s="21" t="str">
        <f t="shared" si="30"/>
        <v/>
      </c>
      <c r="G244" s="24"/>
    </row>
    <row r="245" spans="2:7" x14ac:dyDescent="0.2">
      <c r="B245" s="22" t="str">
        <f>'Wzorzec kategorii'!B207</f>
        <v>.</v>
      </c>
      <c r="C245" s="47">
        <f>Tabela1640586061[[#This Row],[Kolumna2]]+Tabela164058606193[[#This Row],[Kolumna2]]+Tabela1640586061125[[#This Row],[Kolumna2]]+Tabela1640586061157[[#This Row],[Kolumna2]]+Tabela1640586061189[[#This Row],[Kolumna2]]+Tabela1640586061221[[#This Row],[Kolumna2]]+Tabela1640586061253[[#This Row],[Kolumna2]]+Tabela1640586061285[[#This Row],[Kolumna2]]+Tabela1640586061317[[#This Row],[Kolumna2]]+Tabela1640586061349[[#This Row],[Kolumna2]]+Tabela1640586061407[[#This Row],[Kolumna2]]+Tabela1640586061439[[#This Row],[Kolumna2]]</f>
        <v>0</v>
      </c>
      <c r="D245" s="47">
        <f>Tabela1640586061[[#This Row],[Kolumna3]]+Tabela164058606193[[#This Row],[Kolumna3]]+Tabela1640586061125[[#This Row],[Kolumna3]]+Tabela1640586061157[[#This Row],[Kolumna3]]+Tabela1640586061189[[#This Row],[Kolumna3]]+Tabela1640586061221[[#This Row],[Kolumna3]]+Tabela1640586061253[[#This Row],[Kolumna3]]+Tabela1640586061285[[#This Row],[Kolumna3]]+Tabela1640586061317[[#This Row],[Kolumna3]]+Tabela1640586061349[[#This Row],[Kolumna3]]+Tabela1640586061407[[#This Row],[Kolumna3]]+Tabela1640586061439[[#This Row],[Kolumna3]]</f>
        <v>0</v>
      </c>
      <c r="E245" s="20">
        <f t="shared" si="29"/>
        <v>0</v>
      </c>
      <c r="F245" s="21" t="str">
        <f t="shared" si="30"/>
        <v/>
      </c>
      <c r="G245" s="24"/>
    </row>
    <row r="246" spans="2:7" x14ac:dyDescent="0.2">
      <c r="B246" s="22" t="str">
        <f>'Wzorzec kategorii'!B208</f>
        <v>.</v>
      </c>
      <c r="C246" s="47">
        <f>Tabela1640586061[[#This Row],[Kolumna2]]+Tabela164058606193[[#This Row],[Kolumna2]]+Tabela1640586061125[[#This Row],[Kolumna2]]+Tabela1640586061157[[#This Row],[Kolumna2]]+Tabela1640586061189[[#This Row],[Kolumna2]]+Tabela1640586061221[[#This Row],[Kolumna2]]+Tabela1640586061253[[#This Row],[Kolumna2]]+Tabela1640586061285[[#This Row],[Kolumna2]]+Tabela1640586061317[[#This Row],[Kolumna2]]+Tabela1640586061349[[#This Row],[Kolumna2]]+Tabela1640586061407[[#This Row],[Kolumna2]]+Tabela1640586061439[[#This Row],[Kolumna2]]</f>
        <v>0</v>
      </c>
      <c r="D246" s="47">
        <f>Tabela1640586061[[#This Row],[Kolumna3]]+Tabela164058606193[[#This Row],[Kolumna3]]+Tabela1640586061125[[#This Row],[Kolumna3]]+Tabela1640586061157[[#This Row],[Kolumna3]]+Tabela1640586061189[[#This Row],[Kolumna3]]+Tabela1640586061221[[#This Row],[Kolumna3]]+Tabela1640586061253[[#This Row],[Kolumna3]]+Tabela1640586061285[[#This Row],[Kolumna3]]+Tabela1640586061317[[#This Row],[Kolumna3]]+Tabela1640586061349[[#This Row],[Kolumna3]]+Tabela1640586061407[[#This Row],[Kolumna3]]+Tabela1640586061439[[#This Row],[Kolumna3]]</f>
        <v>0</v>
      </c>
      <c r="E246" s="20">
        <f t="shared" si="29"/>
        <v>0</v>
      </c>
      <c r="F246" s="21" t="str">
        <f t="shared" si="30"/>
        <v/>
      </c>
      <c r="G246" s="24"/>
    </row>
    <row r="247" spans="2:7" x14ac:dyDescent="0.2">
      <c r="B247" s="22" t="str">
        <f>'Wzorzec kategorii'!B209</f>
        <v>.</v>
      </c>
      <c r="C247" s="47">
        <f>Tabela1640586061[[#This Row],[Kolumna2]]+Tabela164058606193[[#This Row],[Kolumna2]]+Tabela1640586061125[[#This Row],[Kolumna2]]+Tabela1640586061157[[#This Row],[Kolumna2]]+Tabela1640586061189[[#This Row],[Kolumna2]]+Tabela1640586061221[[#This Row],[Kolumna2]]+Tabela1640586061253[[#This Row],[Kolumna2]]+Tabela1640586061285[[#This Row],[Kolumna2]]+Tabela1640586061317[[#This Row],[Kolumna2]]+Tabela1640586061349[[#This Row],[Kolumna2]]+Tabela1640586061407[[#This Row],[Kolumna2]]+Tabela1640586061439[[#This Row],[Kolumna2]]</f>
        <v>0</v>
      </c>
      <c r="D247" s="47">
        <f>Tabela1640586061[[#This Row],[Kolumna3]]+Tabela164058606193[[#This Row],[Kolumna3]]+Tabela1640586061125[[#This Row],[Kolumna3]]+Tabela1640586061157[[#This Row],[Kolumna3]]+Tabela1640586061189[[#This Row],[Kolumna3]]+Tabela1640586061221[[#This Row],[Kolumna3]]+Tabela1640586061253[[#This Row],[Kolumna3]]+Tabela1640586061285[[#This Row],[Kolumna3]]+Tabela1640586061317[[#This Row],[Kolumna3]]+Tabela1640586061349[[#This Row],[Kolumna3]]+Tabela1640586061407[[#This Row],[Kolumna3]]+Tabela1640586061439[[#This Row],[Kolumna3]]</f>
        <v>0</v>
      </c>
      <c r="E247" s="20">
        <f t="shared" si="29"/>
        <v>0</v>
      </c>
      <c r="F247" s="21" t="str">
        <f t="shared" si="30"/>
        <v/>
      </c>
      <c r="G247" s="24"/>
    </row>
    <row r="248" spans="2:7" x14ac:dyDescent="0.2">
      <c r="B248" s="22" t="str">
        <f>'Wzorzec kategorii'!B210</f>
        <v>.</v>
      </c>
      <c r="C248" s="47">
        <f>Tabela1640586061[[#This Row],[Kolumna2]]+Tabela164058606193[[#This Row],[Kolumna2]]+Tabela1640586061125[[#This Row],[Kolumna2]]+Tabela1640586061157[[#This Row],[Kolumna2]]+Tabela1640586061189[[#This Row],[Kolumna2]]+Tabela1640586061221[[#This Row],[Kolumna2]]+Tabela1640586061253[[#This Row],[Kolumna2]]+Tabela1640586061285[[#This Row],[Kolumna2]]+Tabela1640586061317[[#This Row],[Kolumna2]]+Tabela1640586061349[[#This Row],[Kolumna2]]+Tabela1640586061407[[#This Row],[Kolumna2]]+Tabela1640586061439[[#This Row],[Kolumna2]]</f>
        <v>0</v>
      </c>
      <c r="D248" s="47">
        <f>Tabela1640586061[[#This Row],[Kolumna3]]+Tabela164058606193[[#This Row],[Kolumna3]]+Tabela1640586061125[[#This Row],[Kolumna3]]+Tabela1640586061157[[#This Row],[Kolumna3]]+Tabela1640586061189[[#This Row],[Kolumna3]]+Tabela1640586061221[[#This Row],[Kolumna3]]+Tabela1640586061253[[#This Row],[Kolumna3]]+Tabela1640586061285[[#This Row],[Kolumna3]]+Tabela1640586061317[[#This Row],[Kolumna3]]+Tabela1640586061349[[#This Row],[Kolumna3]]+Tabela1640586061407[[#This Row],[Kolumna3]]+Tabela1640586061439[[#This Row],[Kolumna3]]</f>
        <v>0</v>
      </c>
      <c r="E248" s="20">
        <f t="shared" si="29"/>
        <v>0</v>
      </c>
      <c r="F248" s="21" t="str">
        <f t="shared" si="30"/>
        <v/>
      </c>
      <c r="G248" s="24"/>
    </row>
    <row r="249" spans="2:7" x14ac:dyDescent="0.2">
      <c r="B249" s="22" t="str">
        <f>'Wzorzec kategorii'!B211</f>
        <v>.</v>
      </c>
      <c r="C249" s="47">
        <f>Tabela1640586061[[#This Row],[Kolumna2]]+Tabela164058606193[[#This Row],[Kolumna2]]+Tabela1640586061125[[#This Row],[Kolumna2]]+Tabela1640586061157[[#This Row],[Kolumna2]]+Tabela1640586061189[[#This Row],[Kolumna2]]+Tabela1640586061221[[#This Row],[Kolumna2]]+Tabela1640586061253[[#This Row],[Kolumna2]]+Tabela1640586061285[[#This Row],[Kolumna2]]+Tabela1640586061317[[#This Row],[Kolumna2]]+Tabela1640586061349[[#This Row],[Kolumna2]]+Tabela1640586061407[[#This Row],[Kolumna2]]+Tabela1640586061439[[#This Row],[Kolumna2]]</f>
        <v>0</v>
      </c>
      <c r="D249" s="47">
        <f>Tabela1640586061[[#This Row],[Kolumna3]]+Tabela164058606193[[#This Row],[Kolumna3]]+Tabela1640586061125[[#This Row],[Kolumna3]]+Tabela1640586061157[[#This Row],[Kolumna3]]+Tabela1640586061189[[#This Row],[Kolumna3]]+Tabela1640586061221[[#This Row],[Kolumna3]]+Tabela1640586061253[[#This Row],[Kolumna3]]+Tabela1640586061285[[#This Row],[Kolumna3]]+Tabela1640586061317[[#This Row],[Kolumna3]]+Tabela1640586061349[[#This Row],[Kolumna3]]+Tabela1640586061407[[#This Row],[Kolumna3]]+Tabela1640586061439[[#This Row],[Kolumna3]]</f>
        <v>0</v>
      </c>
      <c r="E249" s="20">
        <f t="shared" si="29"/>
        <v>0</v>
      </c>
      <c r="F249" s="21" t="str">
        <f t="shared" si="30"/>
        <v/>
      </c>
      <c r="G249" s="24"/>
    </row>
    <row r="250" spans="2:7" x14ac:dyDescent="0.2">
      <c r="B250" s="22" t="str">
        <f>'Wzorzec kategorii'!B212</f>
        <v>.</v>
      </c>
      <c r="C250" s="47">
        <f>Tabela1640586061[[#This Row],[Kolumna2]]+Tabela164058606193[[#This Row],[Kolumna2]]+Tabela1640586061125[[#This Row],[Kolumna2]]+Tabela1640586061157[[#This Row],[Kolumna2]]+Tabela1640586061189[[#This Row],[Kolumna2]]+Tabela1640586061221[[#This Row],[Kolumna2]]+Tabela1640586061253[[#This Row],[Kolumna2]]+Tabela1640586061285[[#This Row],[Kolumna2]]+Tabela1640586061317[[#This Row],[Kolumna2]]+Tabela1640586061349[[#This Row],[Kolumna2]]+Tabela1640586061407[[#This Row],[Kolumna2]]+Tabela1640586061439[[#This Row],[Kolumna2]]</f>
        <v>0</v>
      </c>
      <c r="D250" s="47">
        <f>Tabela1640586061[[#This Row],[Kolumna3]]+Tabela164058606193[[#This Row],[Kolumna3]]+Tabela1640586061125[[#This Row],[Kolumna3]]+Tabela1640586061157[[#This Row],[Kolumna3]]+Tabela1640586061189[[#This Row],[Kolumna3]]+Tabela1640586061221[[#This Row],[Kolumna3]]+Tabela1640586061253[[#This Row],[Kolumna3]]+Tabela1640586061285[[#This Row],[Kolumna3]]+Tabela1640586061317[[#This Row],[Kolumna3]]+Tabela1640586061349[[#This Row],[Kolumna3]]+Tabela1640586061407[[#This Row],[Kolumna3]]+Tabela1640586061439[[#This Row],[Kolumna3]]</f>
        <v>0</v>
      </c>
      <c r="E250" s="20">
        <f t="shared" si="29"/>
        <v>0</v>
      </c>
      <c r="F250" s="53" t="str">
        <f t="shared" si="30"/>
        <v/>
      </c>
      <c r="G250" s="54"/>
    </row>
    <row r="251" spans="2:7" x14ac:dyDescent="0.2">
      <c r="B251" s="22" t="str">
        <f>'Wzorzec kategorii'!B213</f>
        <v>.</v>
      </c>
      <c r="C251" s="47">
        <f>Tabela1640586061[[#This Row],[Kolumna2]]+Tabela164058606193[[#This Row],[Kolumna2]]+Tabela1640586061125[[#This Row],[Kolumna2]]+Tabela1640586061157[[#This Row],[Kolumna2]]+Tabela1640586061189[[#This Row],[Kolumna2]]+Tabela1640586061221[[#This Row],[Kolumna2]]+Tabela1640586061253[[#This Row],[Kolumna2]]+Tabela1640586061285[[#This Row],[Kolumna2]]+Tabela1640586061317[[#This Row],[Kolumna2]]+Tabela1640586061349[[#This Row],[Kolumna2]]+Tabela1640586061407[[#This Row],[Kolumna2]]+Tabela1640586061439[[#This Row],[Kolumna2]]</f>
        <v>0</v>
      </c>
      <c r="D251" s="47">
        <f>Tabela1640586061[[#This Row],[Kolumna3]]+Tabela164058606193[[#This Row],[Kolumna3]]+Tabela1640586061125[[#This Row],[Kolumna3]]+Tabela1640586061157[[#This Row],[Kolumna3]]+Tabela1640586061189[[#This Row],[Kolumna3]]+Tabela1640586061221[[#This Row],[Kolumna3]]+Tabela1640586061253[[#This Row],[Kolumna3]]+Tabela1640586061285[[#This Row],[Kolumna3]]+Tabela1640586061317[[#This Row],[Kolumna3]]+Tabela1640586061349[[#This Row],[Kolumna3]]+Tabela1640586061407[[#This Row],[Kolumna3]]+Tabela1640586061439[[#This Row],[Kolumna3]]</f>
        <v>0</v>
      </c>
      <c r="E251" s="20">
        <f t="shared" si="29"/>
        <v>0</v>
      </c>
      <c r="F251" s="53" t="str">
        <f t="shared" si="30"/>
        <v/>
      </c>
      <c r="G251" s="54"/>
    </row>
    <row r="253" spans="2:7" ht="30" x14ac:dyDescent="0.2">
      <c r="C253" s="9" t="s">
        <v>131</v>
      </c>
      <c r="D253" s="10" t="s">
        <v>135</v>
      </c>
      <c r="E253" s="8" t="s">
        <v>129</v>
      </c>
    </row>
    <row r="254" spans="2:7" ht="22" customHeight="1" x14ac:dyDescent="0.2">
      <c r="B254" s="39" t="s">
        <v>31</v>
      </c>
      <c r="C254" s="40">
        <f>C71</f>
        <v>0</v>
      </c>
      <c r="D254" s="40">
        <f>D71</f>
        <v>0</v>
      </c>
      <c r="E254" s="40">
        <f>C254-D254</f>
        <v>0</v>
      </c>
      <c r="G254" s="57"/>
    </row>
  </sheetData>
  <mergeCells count="27">
    <mergeCell ref="B12:C12"/>
    <mergeCell ref="B2:C2"/>
    <mergeCell ref="D2:E2"/>
    <mergeCell ref="B4:E4"/>
    <mergeCell ref="B9:C9"/>
    <mergeCell ref="B10:C10"/>
    <mergeCell ref="C32:D32"/>
    <mergeCell ref="B16:C16"/>
    <mergeCell ref="B17:C17"/>
    <mergeCell ref="B19:C19"/>
    <mergeCell ref="B21:E21"/>
    <mergeCell ref="B23:D23"/>
    <mergeCell ref="B25:E25"/>
    <mergeCell ref="C27:D27"/>
    <mergeCell ref="C28:D28"/>
    <mergeCell ref="C29:D29"/>
    <mergeCell ref="C30:D30"/>
    <mergeCell ref="C31:D31"/>
    <mergeCell ref="C39:D39"/>
    <mergeCell ref="C40:D40"/>
    <mergeCell ref="C41:D41"/>
    <mergeCell ref="C33:D33"/>
    <mergeCell ref="C34:D34"/>
    <mergeCell ref="C35:D35"/>
    <mergeCell ref="C36:D36"/>
    <mergeCell ref="C37:D37"/>
    <mergeCell ref="C38:D38"/>
  </mergeCells>
  <conditionalFormatting sqref="D73">
    <cfRule type="dataBar" priority="29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{5B37E6CD-ADF1-5340-B7CE-3A2A32899BBF}</x14:id>
        </ext>
      </extLst>
    </cfRule>
  </conditionalFormatting>
  <conditionalFormatting sqref="D85">
    <cfRule type="dataBar" priority="28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{2ACA221D-D2E7-7A4F-ADCB-9DA8B8AB9010}</x14:id>
        </ext>
      </extLst>
    </cfRule>
  </conditionalFormatting>
  <conditionalFormatting sqref="B23:D23">
    <cfRule type="dataBar" priority="27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{743FF6E7-32F1-3F49-89DD-A5E89C246C42}</x14:id>
        </ext>
      </extLst>
    </cfRule>
  </conditionalFormatting>
  <conditionalFormatting sqref="C27:D27">
    <cfRule type="dataBar" priority="26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{47CD91A1-8454-1E49-8CC6-41E1145AB16D}</x14:id>
        </ext>
      </extLst>
    </cfRule>
  </conditionalFormatting>
  <conditionalFormatting sqref="D97">
    <cfRule type="dataBar" priority="25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{C9D8246D-24C8-9542-BCF9-F85B257BEA4A}</x14:id>
        </ext>
      </extLst>
    </cfRule>
  </conditionalFormatting>
  <conditionalFormatting sqref="C28:D28">
    <cfRule type="dataBar" priority="24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{AE5FC583-2941-2241-A22D-44F0922CD227}</x14:id>
        </ext>
      </extLst>
    </cfRule>
  </conditionalFormatting>
  <conditionalFormatting sqref="C29:D29">
    <cfRule type="dataBar" priority="23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{547B2445-6765-124D-8A3A-419E37164BC4}</x14:id>
        </ext>
      </extLst>
    </cfRule>
  </conditionalFormatting>
  <conditionalFormatting sqref="C30:D30">
    <cfRule type="dataBar" priority="22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{96AECB07-8007-C947-9658-0B3AE6D2434D}</x14:id>
        </ext>
      </extLst>
    </cfRule>
  </conditionalFormatting>
  <conditionalFormatting sqref="C31:D31">
    <cfRule type="dataBar" priority="21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{FA9AED35-D1B0-4445-BD73-2132549536CB}</x14:id>
        </ext>
      </extLst>
    </cfRule>
  </conditionalFormatting>
  <conditionalFormatting sqref="C32:D32">
    <cfRule type="dataBar" priority="20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{87D4B698-AB3B-4B48-B34A-1809A7A66088}</x14:id>
        </ext>
      </extLst>
    </cfRule>
  </conditionalFormatting>
  <conditionalFormatting sqref="C33:D33">
    <cfRule type="dataBar" priority="19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{FB74D818-953C-5F4A-A1D8-8132B620E878}</x14:id>
        </ext>
      </extLst>
    </cfRule>
  </conditionalFormatting>
  <conditionalFormatting sqref="C34:D34">
    <cfRule type="dataBar" priority="18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{A4E595DE-21E1-5141-A58F-EF7B8DE8FB2C}</x14:id>
        </ext>
      </extLst>
    </cfRule>
  </conditionalFormatting>
  <conditionalFormatting sqref="C35:D35">
    <cfRule type="dataBar" priority="17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{5E9FED6F-D7E2-764B-BEC3-B6A3376058DA}</x14:id>
        </ext>
      </extLst>
    </cfRule>
  </conditionalFormatting>
  <conditionalFormatting sqref="C36:D36">
    <cfRule type="dataBar" priority="16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{CE595B35-EB5F-2541-81E0-6443C01D19A4}</x14:id>
        </ext>
      </extLst>
    </cfRule>
  </conditionalFormatting>
  <conditionalFormatting sqref="C37:D37">
    <cfRule type="dataBar" priority="15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{73A455CC-6BD0-564A-8B75-62FE8DD7FAB5}</x14:id>
        </ext>
      </extLst>
    </cfRule>
  </conditionalFormatting>
  <conditionalFormatting sqref="C38:D41">
    <cfRule type="dataBar" priority="14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{144CA1E9-4302-E94B-8622-E5B7E2997220}</x14:id>
        </ext>
      </extLst>
    </cfRule>
  </conditionalFormatting>
  <conditionalFormatting sqref="D109">
    <cfRule type="dataBar" priority="13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{87285B02-6A01-4441-8514-2CF11E45FAF2}</x14:id>
        </ext>
      </extLst>
    </cfRule>
  </conditionalFormatting>
  <conditionalFormatting sqref="D121">
    <cfRule type="dataBar" priority="12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{D75B1660-75C2-0C4B-A4A0-A4F7A1137829}</x14:id>
        </ext>
      </extLst>
    </cfRule>
  </conditionalFormatting>
  <conditionalFormatting sqref="D133">
    <cfRule type="dataBar" priority="11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{A4949A74-71F2-134F-8C3C-584DD2BEF3FE}</x14:id>
        </ext>
      </extLst>
    </cfRule>
  </conditionalFormatting>
  <conditionalFormatting sqref="D145">
    <cfRule type="dataBar" priority="10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{C6350C6D-385F-F948-8A58-219DCA0E6304}</x14:id>
        </ext>
      </extLst>
    </cfRule>
  </conditionalFormatting>
  <conditionalFormatting sqref="D157">
    <cfRule type="dataBar" priority="9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{81504066-5731-CD44-BB47-E651E63BEF70}</x14:id>
        </ext>
      </extLst>
    </cfRule>
  </conditionalFormatting>
  <conditionalFormatting sqref="D169">
    <cfRule type="dataBar" priority="8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{A87BD022-FEAE-A849-8AB6-322166579C7B}</x14:id>
        </ext>
      </extLst>
    </cfRule>
  </conditionalFormatting>
  <conditionalFormatting sqref="D181">
    <cfRule type="dataBar" priority="7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{41DE7D4C-54FB-0541-9BAD-5EAE5AE39051}</x14:id>
        </ext>
      </extLst>
    </cfRule>
  </conditionalFormatting>
  <conditionalFormatting sqref="D193">
    <cfRule type="dataBar" priority="6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{B6B4206D-D1D4-2A44-8379-8616EE15072F}</x14:id>
        </ext>
      </extLst>
    </cfRule>
  </conditionalFormatting>
  <conditionalFormatting sqref="D205">
    <cfRule type="dataBar" priority="5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{11955CE3-6A0D-D548-BDBC-AF7A0CC05E88}</x14:id>
        </ext>
      </extLst>
    </cfRule>
  </conditionalFormatting>
  <conditionalFormatting sqref="D51">
    <cfRule type="dataBar" priority="4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{8E246A61-5ECD-454C-AA3E-3D7AF8817DF5}</x14:id>
        </ext>
      </extLst>
    </cfRule>
  </conditionalFormatting>
  <conditionalFormatting sqref="D217">
    <cfRule type="dataBar" priority="3">
      <dataBar>
        <cfvo type="num" val="0"/>
        <cfvo type="formula" val="$C$217"/>
        <color rgb="FF92D050"/>
      </dataBar>
      <extLst>
        <ext xmlns:x14="http://schemas.microsoft.com/office/spreadsheetml/2009/9/main" uri="{B025F937-C7B1-47D3-B67F-A62EFF666E3E}">
          <x14:id>{2F5CDB0D-C642-D14E-842B-D880F86A16B4}</x14:id>
        </ext>
      </extLst>
    </cfRule>
  </conditionalFormatting>
  <conditionalFormatting sqref="D229">
    <cfRule type="dataBar" priority="2">
      <dataBar>
        <cfvo type="num" val="0"/>
        <cfvo type="formula" val="$C$229"/>
        <color rgb="FF92D050"/>
      </dataBar>
      <extLst>
        <ext xmlns:x14="http://schemas.microsoft.com/office/spreadsheetml/2009/9/main" uri="{B025F937-C7B1-47D3-B67F-A62EFF666E3E}">
          <x14:id>{E1255B1E-0781-A641-8B64-AD8F398C3C96}</x14:id>
        </ext>
      </extLst>
    </cfRule>
  </conditionalFormatting>
  <conditionalFormatting sqref="D241">
    <cfRule type="dataBar" priority="1">
      <dataBar>
        <cfvo type="num" val="0"/>
        <cfvo type="formula" val="$C$241"/>
        <color rgb="FF92D050"/>
      </dataBar>
      <extLst>
        <ext xmlns:x14="http://schemas.microsoft.com/office/spreadsheetml/2009/9/main" uri="{B025F937-C7B1-47D3-B67F-A62EFF666E3E}">
          <x14:id>{967257C3-5AB7-4742-BB77-29A9225539AB}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ignoredErrors>
    <ignoredError sqref="D2" numberStoredAsText="1"/>
  </ignoredErrors>
  <drawing r:id="rId2"/>
  <tableParts count="16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B37E6CD-ADF1-5340-B7CE-3A2A32899BBF}">
            <x14:dataBar minLength="0" maxLength="100" gradient="0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2ACA221D-D2E7-7A4F-ADCB-9DA8B8AB9010}">
            <x14:dataBar minLength="0" maxLength="100" gradient="0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743FF6E7-32F1-3F49-89DD-A5E89C246C42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47CD91A1-8454-1E49-8CC6-41E1145AB16D}">
            <x14:dataBar minLength="0" maxLength="100" gradient="0" direction="leftToRight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C9D8246D-24C8-9542-BCF9-F85B257BEA4A}">
            <x14:dataBar minLength="0" maxLength="100" gradient="0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AE5FC583-2941-2241-A22D-44F0922CD227}">
            <x14:dataBar minLength="0" maxLength="100" gradient="0" direction="leftToRight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547B2445-6765-124D-8A3A-419E37164BC4}">
            <x14:dataBar minLength="0" maxLength="100" gradient="0" direction="leftToRight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96AECB07-8007-C947-9658-0B3AE6D2434D}">
            <x14:dataBar minLength="0" maxLength="100" gradient="0" direction="leftToRight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FA9AED35-D1B0-4445-BD73-2132549536CB}">
            <x14:dataBar minLength="0" maxLength="100" gradient="0" direction="leftToRight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87D4B698-AB3B-4B48-B34A-1809A7A66088}">
            <x14:dataBar minLength="0" maxLength="100" gradient="0" direction="leftToRight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FB74D818-953C-5F4A-A1D8-8132B620E878}">
            <x14:dataBar minLength="0" maxLength="100" gradient="0" direction="leftToRight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A4E595DE-21E1-5141-A58F-EF7B8DE8FB2C}">
            <x14:dataBar minLength="0" maxLength="100" gradient="0" direction="leftToRight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5E9FED6F-D7E2-764B-BEC3-B6A3376058DA}">
            <x14:dataBar minLength="0" maxLength="100" gradient="0" direction="leftToRight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CE595B35-EB5F-2541-81E0-6443C01D19A4}">
            <x14:dataBar minLength="0" maxLength="100" gradient="0" direction="leftToRight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73A455CC-6BD0-564A-8B75-62FE8DD7FAB5}">
            <x14:dataBar minLength="0" maxLength="100" gradient="0" direction="leftToRight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144CA1E9-4302-E94B-8622-E5B7E2997220}">
            <x14:dataBar minLength="0" maxLength="100" gradient="0" direction="leftToRight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C38:D41</xm:sqref>
        </x14:conditionalFormatting>
        <x14:conditionalFormatting xmlns:xm="http://schemas.microsoft.com/office/excel/2006/main">
          <x14:cfRule type="dataBar" id="{87285B02-6A01-4441-8514-2CF11E45FAF2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D109</xm:sqref>
        </x14:conditionalFormatting>
        <x14:conditionalFormatting xmlns:xm="http://schemas.microsoft.com/office/excel/2006/main">
          <x14:cfRule type="dataBar" id="{D75B1660-75C2-0C4B-A4A0-A4F7A1137829}">
            <x14:dataBar minLength="0" maxLength="100" gradient="0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D121</xm:sqref>
        </x14:conditionalFormatting>
        <x14:conditionalFormatting xmlns:xm="http://schemas.microsoft.com/office/excel/2006/main">
          <x14:cfRule type="dataBar" id="{A4949A74-71F2-134F-8C3C-584DD2BEF3FE}">
            <x14:dataBar minLength="0" maxLength="100" gradient="0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C6350C6D-385F-F948-8A58-219DCA0E6304}">
            <x14:dataBar minLength="0" maxLength="100" gradient="0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81504066-5731-CD44-BB47-E651E63BEF70}">
            <x14:dataBar minLength="0" maxLength="100" gradient="0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A87BD022-FEAE-A849-8AB6-322166579C7B}">
            <x14:dataBar minLength="0" maxLength="100" gradient="0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41DE7D4C-54FB-0541-9BAD-5EAE5AE39051}">
            <x14:dataBar minLength="0" maxLength="100" gradient="0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B6B4206D-D1D4-2A44-8379-8616EE15072F}">
            <x14:dataBar minLength="0" maxLength="100" gradient="0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D193</xm:sqref>
        </x14:conditionalFormatting>
        <x14:conditionalFormatting xmlns:xm="http://schemas.microsoft.com/office/excel/2006/main">
          <x14:cfRule type="dataBar" id="{11955CE3-6A0D-D548-BDBC-AF7A0CC05E88}">
            <x14:dataBar minLength="0" maxLength="100" gradient="0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D205</xm:sqref>
        </x14:conditionalFormatting>
        <x14:conditionalFormatting xmlns:xm="http://schemas.microsoft.com/office/excel/2006/main">
          <x14:cfRule type="dataBar" id="{8E246A61-5ECD-454C-AA3E-3D7AF8817DF5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2F5CDB0D-C642-D14E-842B-D880F86A16B4}">
            <x14:dataBar minLength="0" maxLength="100" gradient="0">
              <x14:cfvo type="num">
                <xm:f>0</xm:f>
              </x14:cfvo>
              <x14:cfvo type="formula">
                <xm:f>$C$217</xm:f>
              </x14:cfvo>
              <x14:negativeFillColor rgb="FFFF0000"/>
              <x14:axisColor rgb="FF000000"/>
            </x14:dataBar>
          </x14:cfRule>
          <xm:sqref>D217</xm:sqref>
        </x14:conditionalFormatting>
        <x14:conditionalFormatting xmlns:xm="http://schemas.microsoft.com/office/excel/2006/main">
          <x14:cfRule type="dataBar" id="{E1255B1E-0781-A641-8B64-AD8F398C3C96}">
            <x14:dataBar minLength="0" maxLength="100" gradient="0">
              <x14:cfvo type="num">
                <xm:f>0</xm:f>
              </x14:cfvo>
              <x14:cfvo type="formula">
                <xm:f>$C$229</xm:f>
              </x14:cfvo>
              <x14:negativeFillColor rgb="FFFF0000"/>
              <x14:axisColor rgb="FF000000"/>
            </x14:dataBar>
          </x14:cfRule>
          <xm:sqref>D229</xm:sqref>
        </x14:conditionalFormatting>
        <x14:conditionalFormatting xmlns:xm="http://schemas.microsoft.com/office/excel/2006/main">
          <x14:cfRule type="dataBar" id="{967257C3-5AB7-4742-BB77-29A9225539AB}">
            <x14:dataBar minLength="0" maxLength="100" gradient="0">
              <x14:cfvo type="num">
                <xm:f>0</xm:f>
              </x14:cfvo>
              <x14:cfvo type="formula">
                <xm:f>$C$241</xm:f>
              </x14:cfvo>
              <x14:negativeFillColor rgb="FFFF0000"/>
              <x14:axisColor rgb="FF000000"/>
            </x14:dataBar>
          </x14:cfRule>
          <xm:sqref>D241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 enableFormatConditionsCalculation="0"/>
  <dimension ref="B2:AO255"/>
  <sheetViews>
    <sheetView showGridLines="0" workbookViewId="0">
      <pane xSplit="8" topLeftCell="I1" activePane="topRight" state="frozen"/>
      <selection activeCell="A12" sqref="A12"/>
      <selection pane="topRight" activeCell="D73" sqref="D73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  <col min="9" max="39" width="11.33203125" customWidth="1"/>
  </cols>
  <sheetData>
    <row r="2" spans="2:7" ht="24" x14ac:dyDescent="0.3">
      <c r="B2" s="66" t="s">
        <v>130</v>
      </c>
      <c r="C2" s="66"/>
      <c r="D2" s="67" t="s">
        <v>154</v>
      </c>
      <c r="E2" s="68"/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69" t="s">
        <v>144</v>
      </c>
      <c r="C4" s="70"/>
      <c r="D4" s="70"/>
      <c r="E4" s="70"/>
    </row>
    <row r="5" spans="2:7" outlineLevel="1" x14ac:dyDescent="0.2">
      <c r="B5" s="41" t="s">
        <v>147</v>
      </c>
      <c r="C5" s="45" t="s">
        <v>148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132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62" t="s">
        <v>127</v>
      </c>
      <c r="C9" s="62"/>
      <c r="D9" s="34">
        <f>C49</f>
        <v>0</v>
      </c>
      <c r="E9" s="18"/>
    </row>
    <row r="10" spans="2:7" x14ac:dyDescent="0.2">
      <c r="B10" s="62" t="s">
        <v>131</v>
      </c>
      <c r="C10" s="62"/>
      <c r="D10" s="34">
        <f>C71</f>
        <v>0</v>
      </c>
      <c r="E10" s="18"/>
    </row>
    <row r="11" spans="2:7" x14ac:dyDescent="0.2">
      <c r="B11" s="46"/>
      <c r="C11" s="46"/>
      <c r="D11" s="31"/>
      <c r="E11" s="18"/>
    </row>
    <row r="12" spans="2:7" ht="30" customHeight="1" x14ac:dyDescent="0.2">
      <c r="B12" s="63" t="s">
        <v>133</v>
      </c>
      <c r="C12" s="63"/>
      <c r="D12" s="36">
        <f>D9-D10</f>
        <v>0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134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62" t="s">
        <v>128</v>
      </c>
      <c r="C16" s="62"/>
      <c r="D16" s="28">
        <f>D49</f>
        <v>0</v>
      </c>
      <c r="E16" s="18"/>
    </row>
    <row r="17" spans="2:5" x14ac:dyDescent="0.2">
      <c r="B17" s="62" t="s">
        <v>135</v>
      </c>
      <c r="C17" s="62"/>
      <c r="D17" s="28">
        <f>D71</f>
        <v>0</v>
      </c>
      <c r="E17" s="18"/>
    </row>
    <row r="18" spans="2:5" x14ac:dyDescent="0.2">
      <c r="B18" s="46"/>
      <c r="C18" s="46"/>
      <c r="D18" s="28"/>
      <c r="E18" s="18"/>
    </row>
    <row r="19" spans="2:5" ht="30" customHeight="1" x14ac:dyDescent="0.2">
      <c r="B19" s="63" t="s">
        <v>136</v>
      </c>
      <c r="C19" s="63"/>
      <c r="D19" s="36">
        <f>D16-D17</f>
        <v>0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64" t="s">
        <v>137</v>
      </c>
      <c r="C21" s="64"/>
      <c r="D21" s="64"/>
      <c r="E21" s="64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60">
        <f>D17</f>
        <v>0</v>
      </c>
      <c r="C23" s="65"/>
      <c r="D23" s="61"/>
      <c r="E23" s="38" t="str">
        <f>IFERROR(D17/D16,"")</f>
        <v/>
      </c>
    </row>
    <row r="24" spans="2:5" ht="18" x14ac:dyDescent="0.2">
      <c r="B24" s="29"/>
      <c r="D24" s="30"/>
      <c r="E24" s="18"/>
    </row>
    <row r="25" spans="2:5" x14ac:dyDescent="0.2">
      <c r="B25" s="64" t="s">
        <v>138</v>
      </c>
      <c r="C25" s="64"/>
      <c r="D25" s="64"/>
      <c r="E25" s="64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B73</f>
        <v>Jedzenie</v>
      </c>
      <c r="C27" s="60">
        <f>D73</f>
        <v>0</v>
      </c>
      <c r="D27" s="72"/>
      <c r="E27" s="38" t="str">
        <f>IFERROR(D73/C73,"")</f>
        <v/>
      </c>
    </row>
    <row r="28" spans="2:5" ht="18" customHeight="1" x14ac:dyDescent="0.2">
      <c r="B28" s="29" t="str">
        <f>B85</f>
        <v>Mieszkanie / dom</v>
      </c>
      <c r="C28" s="60">
        <f>D85</f>
        <v>0</v>
      </c>
      <c r="D28" s="61"/>
      <c r="E28" s="38" t="str">
        <f>IFERROR(D85/C85,"")</f>
        <v/>
      </c>
    </row>
    <row r="29" spans="2:5" ht="18" customHeight="1" x14ac:dyDescent="0.2">
      <c r="B29" s="29" t="str">
        <f>B97</f>
        <v>Transport</v>
      </c>
      <c r="C29" s="60">
        <f>D97</f>
        <v>0</v>
      </c>
      <c r="D29" s="61"/>
      <c r="E29" s="38" t="str">
        <f>IFERROR(D97/C97,"")</f>
        <v/>
      </c>
    </row>
    <row r="30" spans="2:5" ht="18" customHeight="1" x14ac:dyDescent="0.2">
      <c r="B30" s="29" t="str">
        <f>B109</f>
        <v>Telekomunikacja</v>
      </c>
      <c r="C30" s="60">
        <f>D109</f>
        <v>0</v>
      </c>
      <c r="D30" s="61"/>
      <c r="E30" s="38" t="str">
        <f>IFERROR(D109/C109,"")</f>
        <v/>
      </c>
    </row>
    <row r="31" spans="2:5" ht="18" customHeight="1" x14ac:dyDescent="0.2">
      <c r="B31" s="29" t="str">
        <f>B121</f>
        <v>Opieka zdrowotna</v>
      </c>
      <c r="C31" s="60">
        <f>D121</f>
        <v>0</v>
      </c>
      <c r="D31" s="61"/>
      <c r="E31" s="38" t="str">
        <f>IFERROR(D121/C121,"")</f>
        <v/>
      </c>
    </row>
    <row r="32" spans="2:5" ht="18" customHeight="1" x14ac:dyDescent="0.2">
      <c r="B32" s="29" t="str">
        <f>B133</f>
        <v>Ubranie</v>
      </c>
      <c r="C32" s="60">
        <f>D133</f>
        <v>0</v>
      </c>
      <c r="D32" s="61"/>
      <c r="E32" s="38" t="str">
        <f>IFERROR(D133/C133,"")</f>
        <v/>
      </c>
    </row>
    <row r="33" spans="2:9" ht="18" customHeight="1" x14ac:dyDescent="0.2">
      <c r="B33" s="29" t="str">
        <f>B145</f>
        <v>Higiena</v>
      </c>
      <c r="C33" s="60">
        <f>D145</f>
        <v>0</v>
      </c>
      <c r="D33" s="61"/>
      <c r="E33" s="38" t="str">
        <f>IFERROR(D145/C145,"")</f>
        <v/>
      </c>
    </row>
    <row r="34" spans="2:9" ht="18" customHeight="1" x14ac:dyDescent="0.2">
      <c r="B34" s="29" t="str">
        <f>B157</f>
        <v>Dzieci</v>
      </c>
      <c r="C34" s="60">
        <f>D157</f>
        <v>0</v>
      </c>
      <c r="D34" s="61"/>
      <c r="E34" s="38" t="str">
        <f>IFERROR(D157/C157,"")</f>
        <v/>
      </c>
    </row>
    <row r="35" spans="2:9" ht="18" customHeight="1" x14ac:dyDescent="0.2">
      <c r="B35" s="29" t="str">
        <f>B169</f>
        <v>Rozrywka</v>
      </c>
      <c r="C35" s="60">
        <f>D169</f>
        <v>0</v>
      </c>
      <c r="D35" s="61"/>
      <c r="E35" s="38" t="str">
        <f>IFERROR(D169/C169,"")</f>
        <v/>
      </c>
    </row>
    <row r="36" spans="2:9" ht="18" customHeight="1" x14ac:dyDescent="0.2">
      <c r="B36" s="29" t="str">
        <f>B181</f>
        <v>Inne wydatki</v>
      </c>
      <c r="C36" s="60">
        <f>D181</f>
        <v>0</v>
      </c>
      <c r="D36" s="61"/>
      <c r="E36" s="38" t="str">
        <f>IFERROR(D181/C181,"")</f>
        <v/>
      </c>
    </row>
    <row r="37" spans="2:9" ht="18" customHeight="1" x14ac:dyDescent="0.2">
      <c r="B37" s="29" t="str">
        <f>B193</f>
        <v>Spłata długów</v>
      </c>
      <c r="C37" s="60">
        <f>D193</f>
        <v>0</v>
      </c>
      <c r="D37" s="61"/>
      <c r="E37" s="38" t="str">
        <f>IFERROR(D193/C193,"")</f>
        <v/>
      </c>
    </row>
    <row r="38" spans="2:9" ht="18" customHeight="1" x14ac:dyDescent="0.2">
      <c r="B38" s="29" t="str">
        <f>B205</f>
        <v>Budowanie oszczędności</v>
      </c>
      <c r="C38" s="60">
        <f>D205</f>
        <v>0</v>
      </c>
      <c r="D38" s="61"/>
      <c r="E38" s="38" t="str">
        <f>IFERROR(D205/C205,"")</f>
        <v/>
      </c>
    </row>
    <row r="39" spans="2:9" ht="18" customHeight="1" x14ac:dyDescent="0.2">
      <c r="B39" s="29" t="str">
        <f>B217</f>
        <v>INNE 1</v>
      </c>
      <c r="C39" s="60">
        <f>D217</f>
        <v>0</v>
      </c>
      <c r="D39" s="61"/>
      <c r="E39" s="38" t="str">
        <f>IFERROR(D217/C217,"")</f>
        <v/>
      </c>
    </row>
    <row r="40" spans="2:9" ht="18" customHeight="1" x14ac:dyDescent="0.2">
      <c r="B40" s="29" t="str">
        <f>B229</f>
        <v>INNE 2</v>
      </c>
      <c r="C40" s="60">
        <f>D229</f>
        <v>0</v>
      </c>
      <c r="D40" s="72"/>
      <c r="E40" s="38" t="str">
        <f>IFERROR(D229/C229,"")</f>
        <v/>
      </c>
    </row>
    <row r="41" spans="2:9" ht="18" customHeight="1" x14ac:dyDescent="0.2">
      <c r="B41" s="29" t="str">
        <f>B241</f>
        <v>INNE 3</v>
      </c>
      <c r="C41" s="60">
        <f>D241</f>
        <v>0</v>
      </c>
      <c r="D41" s="72"/>
      <c r="E41" s="38" t="str">
        <f>IFERROR(D241/C241,"")</f>
        <v/>
      </c>
    </row>
    <row r="42" spans="2:9" ht="18" x14ac:dyDescent="0.2">
      <c r="B42" s="29"/>
      <c r="D42" s="30"/>
      <c r="E42" s="18"/>
    </row>
    <row r="43" spans="2:9" x14ac:dyDescent="0.2">
      <c r="B43" s="18"/>
      <c r="C43" s="18"/>
      <c r="D43" s="18"/>
      <c r="E43" s="18"/>
    </row>
    <row r="44" spans="2:9" ht="22" thickBot="1" x14ac:dyDescent="0.3">
      <c r="B44" s="32" t="s">
        <v>42</v>
      </c>
      <c r="C44" s="33"/>
      <c r="D44" s="33"/>
      <c r="E44" s="33"/>
      <c r="F44" s="33"/>
      <c r="G44" s="33"/>
    </row>
    <row r="46" spans="2:9" ht="21" x14ac:dyDescent="0.25">
      <c r="B46" s="44" t="s">
        <v>26</v>
      </c>
      <c r="I46" s="7" t="s">
        <v>43</v>
      </c>
    </row>
    <row r="47" spans="2:9" x14ac:dyDescent="0.2">
      <c r="B47" s="1"/>
    </row>
    <row r="48" spans="2:9" ht="30" x14ac:dyDescent="0.2">
      <c r="B48" s="8" t="s">
        <v>0</v>
      </c>
      <c r="C48" s="9" t="s">
        <v>127</v>
      </c>
      <c r="D48" s="10" t="s">
        <v>128</v>
      </c>
      <c r="E48" s="8" t="s">
        <v>129</v>
      </c>
      <c r="F48" s="9" t="s">
        <v>140</v>
      </c>
      <c r="G48" s="8" t="s">
        <v>41</v>
      </c>
      <c r="I48" s="41" t="s">
        <v>159</v>
      </c>
    </row>
    <row r="49" spans="2:39" ht="26" customHeight="1" x14ac:dyDescent="0.2">
      <c r="B49" s="39" t="s">
        <v>139</v>
      </c>
      <c r="C49" s="40">
        <f>C51</f>
        <v>0</v>
      </c>
      <c r="D49" s="40">
        <f>D51</f>
        <v>0</v>
      </c>
      <c r="E49" s="40">
        <f>D49-C49</f>
        <v>0</v>
      </c>
      <c r="F49" s="8" t="s">
        <v>141</v>
      </c>
      <c r="G49" s="8"/>
      <c r="I49" s="43">
        <f>SUM(I52:I67)</f>
        <v>0</v>
      </c>
      <c r="J49" s="43">
        <f>SUM(J52:J67)</f>
        <v>0</v>
      </c>
      <c r="K49" s="43">
        <f t="shared" ref="K49:AM49" si="0">SUM(K52:K67)</f>
        <v>0</v>
      </c>
      <c r="L49" s="43">
        <f t="shared" si="0"/>
        <v>0</v>
      </c>
      <c r="M49" s="43">
        <f t="shared" si="0"/>
        <v>0</v>
      </c>
      <c r="N49" s="43">
        <f t="shared" si="0"/>
        <v>0</v>
      </c>
      <c r="O49" s="43">
        <f t="shared" si="0"/>
        <v>0</v>
      </c>
      <c r="P49" s="43">
        <f t="shared" si="0"/>
        <v>0</v>
      </c>
      <c r="Q49" s="43">
        <f t="shared" si="0"/>
        <v>0</v>
      </c>
      <c r="R49" s="43">
        <f t="shared" si="0"/>
        <v>0</v>
      </c>
      <c r="S49" s="43">
        <f t="shared" si="0"/>
        <v>0</v>
      </c>
      <c r="T49" s="43">
        <f t="shared" si="0"/>
        <v>0</v>
      </c>
      <c r="U49" s="43">
        <f t="shared" si="0"/>
        <v>0</v>
      </c>
      <c r="V49" s="43">
        <f t="shared" si="0"/>
        <v>0</v>
      </c>
      <c r="W49" s="43">
        <f t="shared" si="0"/>
        <v>0</v>
      </c>
      <c r="X49" s="43">
        <f t="shared" si="0"/>
        <v>0</v>
      </c>
      <c r="Y49" s="43">
        <f t="shared" si="0"/>
        <v>0</v>
      </c>
      <c r="Z49" s="43">
        <f t="shared" si="0"/>
        <v>0</v>
      </c>
      <c r="AA49" s="43">
        <f t="shared" si="0"/>
        <v>0</v>
      </c>
      <c r="AB49" s="43">
        <f t="shared" si="0"/>
        <v>0</v>
      </c>
      <c r="AC49" s="43">
        <f t="shared" si="0"/>
        <v>0</v>
      </c>
      <c r="AD49" s="43">
        <f t="shared" si="0"/>
        <v>0</v>
      </c>
      <c r="AE49" s="43">
        <f t="shared" si="0"/>
        <v>0</v>
      </c>
      <c r="AF49" s="43">
        <f t="shared" si="0"/>
        <v>0</v>
      </c>
      <c r="AG49" s="43">
        <f t="shared" si="0"/>
        <v>0</v>
      </c>
      <c r="AH49" s="43">
        <f t="shared" si="0"/>
        <v>0</v>
      </c>
      <c r="AI49" s="43">
        <f t="shared" si="0"/>
        <v>0</v>
      </c>
      <c r="AJ49" s="43">
        <f t="shared" si="0"/>
        <v>0</v>
      </c>
      <c r="AK49" s="43">
        <f t="shared" si="0"/>
        <v>0</v>
      </c>
      <c r="AL49" s="43">
        <f t="shared" si="0"/>
        <v>0</v>
      </c>
      <c r="AM49" s="43">
        <f t="shared" si="0"/>
        <v>0</v>
      </c>
    </row>
    <row r="50" spans="2:39" x14ac:dyDescent="0.2">
      <c r="B50" s="1"/>
    </row>
    <row r="51" spans="2:39" x14ac:dyDescent="0.2">
      <c r="B51" s="14" t="str">
        <f>'Wzorzec kategorii'!B14</f>
        <v>Całkowite przychody</v>
      </c>
      <c r="C51" s="15">
        <f>SUM(Tabela718[[#All],[Kolumna2]])</f>
        <v>0</v>
      </c>
      <c r="D51" s="16">
        <f>SUM(Tabela718[[#All],[Kolumna3]])</f>
        <v>0</v>
      </c>
      <c r="E51" s="15">
        <f>D51-C51</f>
        <v>0</v>
      </c>
      <c r="F51" s="17" t="str">
        <f>IFERROR(D51/C51,"")</f>
        <v/>
      </c>
      <c r="G51" s="15"/>
      <c r="I51" s="11" t="s">
        <v>44</v>
      </c>
      <c r="J51" s="11" t="s">
        <v>45</v>
      </c>
      <c r="K51" s="11" t="s">
        <v>46</v>
      </c>
      <c r="L51" s="11" t="s">
        <v>47</v>
      </c>
      <c r="M51" s="11" t="s">
        <v>48</v>
      </c>
      <c r="N51" s="11" t="s">
        <v>49</v>
      </c>
      <c r="O51" s="11" t="s">
        <v>50</v>
      </c>
      <c r="P51" s="11" t="s">
        <v>51</v>
      </c>
      <c r="Q51" s="11" t="s">
        <v>52</v>
      </c>
      <c r="R51" s="11" t="s">
        <v>53</v>
      </c>
      <c r="S51" s="11" t="s">
        <v>54</v>
      </c>
      <c r="T51" s="11" t="s">
        <v>55</v>
      </c>
      <c r="U51" s="11" t="s">
        <v>56</v>
      </c>
      <c r="V51" s="11" t="s">
        <v>57</v>
      </c>
      <c r="W51" s="11" t="s">
        <v>58</v>
      </c>
      <c r="X51" s="11" t="s">
        <v>59</v>
      </c>
      <c r="Y51" s="11" t="s">
        <v>60</v>
      </c>
      <c r="Z51" s="11" t="s">
        <v>61</v>
      </c>
      <c r="AA51" s="11" t="s">
        <v>62</v>
      </c>
      <c r="AB51" s="11" t="s">
        <v>63</v>
      </c>
      <c r="AC51" s="11" t="s">
        <v>64</v>
      </c>
      <c r="AD51" s="11" t="s">
        <v>65</v>
      </c>
      <c r="AE51" s="11" t="s">
        <v>66</v>
      </c>
      <c r="AF51" s="11" t="s">
        <v>67</v>
      </c>
      <c r="AG51" s="11" t="s">
        <v>68</v>
      </c>
      <c r="AH51" s="11" t="s">
        <v>69</v>
      </c>
      <c r="AI51" s="11" t="s">
        <v>70</v>
      </c>
      <c r="AJ51" s="11" t="s">
        <v>71</v>
      </c>
      <c r="AK51" s="11" t="s">
        <v>72</v>
      </c>
      <c r="AL51" s="11" t="s">
        <v>73</v>
      </c>
      <c r="AM51" s="11" t="s">
        <v>74</v>
      </c>
    </row>
    <row r="52" spans="2:39" x14ac:dyDescent="0.2">
      <c r="B52" s="22" t="str">
        <f>'Wzorzec kategorii'!B15</f>
        <v>Wynagrodzenie</v>
      </c>
      <c r="C52" s="19">
        <v>0</v>
      </c>
      <c r="D52" s="47">
        <f>SUM(Tabela33064[#This Row])</f>
        <v>0</v>
      </c>
      <c r="E52" s="20">
        <f>Tabela718[[#This Row],[Kolumna3]]-Tabela718[[#This Row],[Kolumna2]]</f>
        <v>0</v>
      </c>
      <c r="F52" s="21" t="str">
        <f t="shared" ref="F52:F58" si="1">IFERROR(D52/C52,"")</f>
        <v/>
      </c>
      <c r="G52" s="2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ht="30" x14ac:dyDescent="0.2">
      <c r="B53" s="22" t="str">
        <f>'Wzorzec kategorii'!B16</f>
        <v>Wynagrodzenie Partnera / Partnerki</v>
      </c>
      <c r="C53" s="19">
        <v>0</v>
      </c>
      <c r="D53" s="47">
        <f>SUM(Tabela33064[#This Row])</f>
        <v>0</v>
      </c>
      <c r="E53" s="20">
        <f>Tabela718[[#This Row],[Kolumna3]]-Tabela718[[#This Row],[Kolumna2]]</f>
        <v>0</v>
      </c>
      <c r="F53" s="21" t="str">
        <f t="shared" si="1"/>
        <v/>
      </c>
      <c r="G53" s="2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x14ac:dyDescent="0.2">
      <c r="B54" s="22" t="str">
        <f>'Wzorzec kategorii'!B17</f>
        <v>Premia</v>
      </c>
      <c r="C54" s="19">
        <v>0</v>
      </c>
      <c r="D54" s="47">
        <f>SUM(Tabela33064[#This Row])</f>
        <v>0</v>
      </c>
      <c r="E54" s="20">
        <f>Tabela718[[#This Row],[Kolumna3]]-Tabela718[[#This Row],[Kolumna2]]</f>
        <v>0</v>
      </c>
      <c r="F54" s="21" t="str">
        <f t="shared" si="1"/>
        <v/>
      </c>
      <c r="G54" s="2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x14ac:dyDescent="0.2">
      <c r="B55" s="22" t="str">
        <f>'Wzorzec kategorii'!B18</f>
        <v>Przychody z premii bankowych</v>
      </c>
      <c r="C55" s="19">
        <v>0</v>
      </c>
      <c r="D55" s="47">
        <f>SUM(Tabela33064[#This Row])</f>
        <v>0</v>
      </c>
      <c r="E55" s="20">
        <f>Tabela718[[#This Row],[Kolumna3]]-Tabela718[[#This Row],[Kolumna2]]</f>
        <v>0</v>
      </c>
      <c r="F55" s="21" t="str">
        <f t="shared" si="1"/>
        <v/>
      </c>
      <c r="G55" s="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x14ac:dyDescent="0.2">
      <c r="B56" s="22" t="str">
        <f>'Wzorzec kategorii'!B19</f>
        <v>Odsetki bankowe</v>
      </c>
      <c r="C56" s="19">
        <v>0</v>
      </c>
      <c r="D56" s="47">
        <f>SUM(Tabela33064[#This Row])</f>
        <v>0</v>
      </c>
      <c r="E56" s="20">
        <f>Tabela718[[#This Row],[Kolumna3]]-Tabela718[[#This Row],[Kolumna2]]</f>
        <v>0</v>
      </c>
      <c r="F56" s="21" t="str">
        <f t="shared" si="1"/>
        <v/>
      </c>
      <c r="G56" s="2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2:39" x14ac:dyDescent="0.2">
      <c r="B57" s="22" t="str">
        <f>'Wzorzec kategorii'!B20</f>
        <v>Sprzedaż na Allegro itp.</v>
      </c>
      <c r="C57" s="19">
        <v>0</v>
      </c>
      <c r="D57" s="47">
        <f>SUM(Tabela33064[#This Row])</f>
        <v>0</v>
      </c>
      <c r="E57" s="20">
        <f>Tabela718[[#This Row],[Kolumna3]]-Tabela718[[#This Row],[Kolumna2]]</f>
        <v>0</v>
      </c>
      <c r="F57" s="21" t="str">
        <f t="shared" si="1"/>
        <v/>
      </c>
      <c r="G57" s="2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9" x14ac:dyDescent="0.2">
      <c r="B58" s="22" t="str">
        <f>'Wzorzec kategorii'!B21</f>
        <v>Inne przychody</v>
      </c>
      <c r="C58" s="19">
        <v>0</v>
      </c>
      <c r="D58" s="47">
        <f>SUM(Tabela33064[#This Row])</f>
        <v>0</v>
      </c>
      <c r="E58" s="20">
        <f>Tabela718[[#This Row],[Kolumna3]]-Tabela718[[#This Row],[Kolumna2]]</f>
        <v>0</v>
      </c>
      <c r="F58" s="21" t="str">
        <f t="shared" si="1"/>
        <v/>
      </c>
      <c r="G58" s="2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2:39" x14ac:dyDescent="0.2">
      <c r="B59" s="22" t="str">
        <f>'Wzorzec kategorii'!B22</f>
        <v>.</v>
      </c>
      <c r="C59" s="19">
        <v>0</v>
      </c>
      <c r="D59" s="47">
        <f>SUM(Tabela33064[#This Row])</f>
        <v>0</v>
      </c>
      <c r="E59" s="20">
        <f>Tabela718[[#This Row],[Kolumna3]]-Tabela718[[#This Row],[Kolumna2]]</f>
        <v>0</v>
      </c>
      <c r="F59" s="53" t="str">
        <f t="shared" ref="F59:F63" si="2">IFERROR(D59/C59,"")</f>
        <v/>
      </c>
      <c r="G59" s="2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2:39" x14ac:dyDescent="0.2">
      <c r="B60" s="22" t="str">
        <f>'Wzorzec kategorii'!B23</f>
        <v>.</v>
      </c>
      <c r="C60" s="19">
        <v>0</v>
      </c>
      <c r="D60" s="47">
        <f>SUM(Tabela33064[#This Row])</f>
        <v>0</v>
      </c>
      <c r="E60" s="20">
        <f>Tabela718[[#This Row],[Kolumna3]]-Tabela718[[#This Row],[Kolumna2]]</f>
        <v>0</v>
      </c>
      <c r="F60" s="53" t="str">
        <f t="shared" si="2"/>
        <v/>
      </c>
      <c r="G60" s="2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2:39" x14ac:dyDescent="0.2">
      <c r="B61" s="22" t="str">
        <f>'Wzorzec kategorii'!B24</f>
        <v>.</v>
      </c>
      <c r="C61" s="19">
        <v>0</v>
      </c>
      <c r="D61" s="47">
        <f>SUM(Tabela33064[#This Row])</f>
        <v>0</v>
      </c>
      <c r="E61" s="20">
        <f>Tabela718[[#This Row],[Kolumna3]]-Tabela718[[#This Row],[Kolumna2]]</f>
        <v>0</v>
      </c>
      <c r="F61" s="53" t="str">
        <f t="shared" si="2"/>
        <v/>
      </c>
      <c r="G61" s="2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2:39" x14ac:dyDescent="0.2">
      <c r="B62" s="22" t="str">
        <f>'Wzorzec kategorii'!B25</f>
        <v>.</v>
      </c>
      <c r="C62" s="19">
        <v>0</v>
      </c>
      <c r="D62" s="47">
        <f>SUM(Tabela33064[#This Row])</f>
        <v>0</v>
      </c>
      <c r="E62" s="20">
        <f>Tabela718[[#This Row],[Kolumna3]]-Tabela718[[#This Row],[Kolumna2]]</f>
        <v>0</v>
      </c>
      <c r="F62" s="53" t="str">
        <f t="shared" si="2"/>
        <v/>
      </c>
      <c r="G62" s="2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:39" x14ac:dyDescent="0.2">
      <c r="B63" s="22" t="str">
        <f>'Wzorzec kategorii'!B26</f>
        <v>.</v>
      </c>
      <c r="C63" s="19">
        <v>0</v>
      </c>
      <c r="D63" s="47">
        <f>SUM(Tabela33064[#This Row])</f>
        <v>0</v>
      </c>
      <c r="E63" s="20">
        <f>Tabela718[[#This Row],[Kolumna3]]-Tabela718[[#This Row],[Kolumna2]]</f>
        <v>0</v>
      </c>
      <c r="F63" s="53" t="str">
        <f t="shared" si="2"/>
        <v/>
      </c>
      <c r="G63" s="2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x14ac:dyDescent="0.2">
      <c r="B64" s="22" t="str">
        <f>'Wzorzec kategorii'!B27</f>
        <v>.</v>
      </c>
      <c r="C64" s="19">
        <v>0</v>
      </c>
      <c r="D64" s="47">
        <f>SUM(Tabela33064[#This Row])</f>
        <v>0</v>
      </c>
      <c r="E64" s="20">
        <f>Tabela718[[#This Row],[Kolumna3]]-Tabela718[[#This Row],[Kolumna2]]</f>
        <v>0</v>
      </c>
      <c r="F64" s="53" t="str">
        <f t="shared" ref="F64:F66" si="3">IFERROR(D64/C64,"")</f>
        <v/>
      </c>
      <c r="G64" s="2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:39" x14ac:dyDescent="0.2">
      <c r="B65" s="22" t="str">
        <f>'Wzorzec kategorii'!B28</f>
        <v>.</v>
      </c>
      <c r="C65" s="19">
        <v>0</v>
      </c>
      <c r="D65" s="47">
        <f>SUM(Tabela33064[#This Row])</f>
        <v>0</v>
      </c>
      <c r="E65" s="20">
        <f>Tabela718[[#This Row],[Kolumna3]]-Tabela718[[#This Row],[Kolumna2]]</f>
        <v>0</v>
      </c>
      <c r="F65" s="53" t="str">
        <f t="shared" si="3"/>
        <v/>
      </c>
      <c r="G65" s="2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39" x14ac:dyDescent="0.2">
      <c r="B66" s="22" t="str">
        <f>'Wzorzec kategorii'!B29</f>
        <v>.</v>
      </c>
      <c r="C66" s="19">
        <v>0</v>
      </c>
      <c r="D66" s="47">
        <f>SUM(Tabela33064[#This Row])</f>
        <v>0</v>
      </c>
      <c r="E66" s="20">
        <f>Tabela718[[#This Row],[Kolumna3]]-Tabela718[[#This Row],[Kolumna2]]</f>
        <v>0</v>
      </c>
      <c r="F66" s="53" t="str">
        <f t="shared" si="3"/>
        <v/>
      </c>
      <c r="G66" s="2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:39" x14ac:dyDescent="0.2">
      <c r="B67" s="5" t="s">
        <v>30</v>
      </c>
    </row>
    <row r="68" spans="2:39" ht="21" x14ac:dyDescent="0.25">
      <c r="B68" s="44" t="s">
        <v>25</v>
      </c>
      <c r="I68" s="7" t="s">
        <v>43</v>
      </c>
    </row>
    <row r="70" spans="2:39" ht="30" x14ac:dyDescent="0.2">
      <c r="B70" s="8" t="s">
        <v>0</v>
      </c>
      <c r="C70" s="9" t="s">
        <v>131</v>
      </c>
      <c r="D70" s="10" t="s">
        <v>135</v>
      </c>
      <c r="E70" s="8" t="s">
        <v>129</v>
      </c>
      <c r="F70" s="9" t="s">
        <v>140</v>
      </c>
      <c r="G70" s="8" t="s">
        <v>41</v>
      </c>
      <c r="I70" s="41" t="s">
        <v>142</v>
      </c>
    </row>
    <row r="71" spans="2:39" ht="24" customHeight="1" x14ac:dyDescent="0.2">
      <c r="B71" s="39" t="s">
        <v>139</v>
      </c>
      <c r="C71" s="40">
        <f>C73+C85+C97+C109+C121+C133+C145+C157+C169+C181+C193+C205+C217+C229+C241</f>
        <v>0</v>
      </c>
      <c r="D71" s="40">
        <f>D73+D85+D97+D109+D121+D133+D145+D157+D169+D181+D193+D205+D217+D229+D241</f>
        <v>0</v>
      </c>
      <c r="E71" s="40">
        <f>C71-D71</f>
        <v>0</v>
      </c>
      <c r="F71" s="8" t="s">
        <v>141</v>
      </c>
      <c r="G71" s="8"/>
      <c r="I71" s="43">
        <f>SUM(I73:I251)</f>
        <v>0</v>
      </c>
      <c r="J71" s="43">
        <f>SUM(J73:J251)</f>
        <v>0</v>
      </c>
      <c r="K71" s="43">
        <f t="shared" ref="K71:AM71" si="4">SUM(K73:K251)</f>
        <v>0</v>
      </c>
      <c r="L71" s="43">
        <f t="shared" si="4"/>
        <v>0</v>
      </c>
      <c r="M71" s="43">
        <f t="shared" si="4"/>
        <v>0</v>
      </c>
      <c r="N71" s="43">
        <f t="shared" si="4"/>
        <v>0</v>
      </c>
      <c r="O71" s="43">
        <f t="shared" si="4"/>
        <v>0</v>
      </c>
      <c r="P71" s="43">
        <f t="shared" si="4"/>
        <v>0</v>
      </c>
      <c r="Q71" s="43">
        <f t="shared" si="4"/>
        <v>0</v>
      </c>
      <c r="R71" s="43">
        <f t="shared" si="4"/>
        <v>0</v>
      </c>
      <c r="S71" s="43">
        <f t="shared" si="4"/>
        <v>0</v>
      </c>
      <c r="T71" s="43">
        <f t="shared" si="4"/>
        <v>0</v>
      </c>
      <c r="U71" s="43">
        <f t="shared" si="4"/>
        <v>0</v>
      </c>
      <c r="V71" s="43">
        <f t="shared" si="4"/>
        <v>0</v>
      </c>
      <c r="W71" s="43">
        <f t="shared" si="4"/>
        <v>0</v>
      </c>
      <c r="X71" s="43">
        <f t="shared" si="4"/>
        <v>0</v>
      </c>
      <c r="Y71" s="43">
        <f t="shared" si="4"/>
        <v>0</v>
      </c>
      <c r="Z71" s="43">
        <f t="shared" si="4"/>
        <v>0</v>
      </c>
      <c r="AA71" s="43">
        <f t="shared" si="4"/>
        <v>0</v>
      </c>
      <c r="AB71" s="43">
        <f t="shared" si="4"/>
        <v>0</v>
      </c>
      <c r="AC71" s="43">
        <f t="shared" si="4"/>
        <v>0</v>
      </c>
      <c r="AD71" s="43">
        <f t="shared" si="4"/>
        <v>0</v>
      </c>
      <c r="AE71" s="43">
        <f t="shared" si="4"/>
        <v>0</v>
      </c>
      <c r="AF71" s="43">
        <f t="shared" si="4"/>
        <v>0</v>
      </c>
      <c r="AG71" s="43">
        <f t="shared" si="4"/>
        <v>0</v>
      </c>
      <c r="AH71" s="43">
        <f t="shared" si="4"/>
        <v>0</v>
      </c>
      <c r="AI71" s="43">
        <f t="shared" si="4"/>
        <v>0</v>
      </c>
      <c r="AJ71" s="43">
        <f t="shared" si="4"/>
        <v>0</v>
      </c>
      <c r="AK71" s="43">
        <f t="shared" si="4"/>
        <v>0</v>
      </c>
      <c r="AL71" s="43">
        <f t="shared" si="4"/>
        <v>0</v>
      </c>
      <c r="AM71" s="43">
        <f t="shared" si="4"/>
        <v>0</v>
      </c>
    </row>
    <row r="73" spans="2:39" x14ac:dyDescent="0.2">
      <c r="B73" s="14" t="str">
        <f>'Wzorzec kategorii'!B35</f>
        <v>Jedzenie</v>
      </c>
      <c r="C73" s="15">
        <f>SUM(Jedzenie2[[#All],[0]])</f>
        <v>0</v>
      </c>
      <c r="D73" s="16">
        <f>SUM(Jedzenie2[[#All],[02]])</f>
        <v>0</v>
      </c>
      <c r="E73" s="15">
        <f t="shared" ref="E73:E78" si="5">C73-D73</f>
        <v>0</v>
      </c>
      <c r="F73" s="17" t="str">
        <f t="shared" ref="F73:F78" si="6">IFERROR(D73/C73,"")</f>
        <v/>
      </c>
      <c r="G73" s="23"/>
      <c r="I73" s="11" t="s">
        <v>44</v>
      </c>
      <c r="J73" s="11" t="s">
        <v>45</v>
      </c>
      <c r="K73" s="11" t="s">
        <v>46</v>
      </c>
      <c r="L73" s="11" t="s">
        <v>47</v>
      </c>
      <c r="M73" s="11" t="s">
        <v>48</v>
      </c>
      <c r="N73" s="11" t="s">
        <v>49</v>
      </c>
      <c r="O73" s="11" t="s">
        <v>50</v>
      </c>
      <c r="P73" s="11" t="s">
        <v>51</v>
      </c>
      <c r="Q73" s="11" t="s">
        <v>52</v>
      </c>
      <c r="R73" s="11" t="s">
        <v>53</v>
      </c>
      <c r="S73" s="11" t="s">
        <v>54</v>
      </c>
      <c r="T73" s="11" t="s">
        <v>55</v>
      </c>
      <c r="U73" s="11" t="s">
        <v>56</v>
      </c>
      <c r="V73" s="11" t="s">
        <v>57</v>
      </c>
      <c r="W73" s="11" t="s">
        <v>58</v>
      </c>
      <c r="X73" s="11" t="s">
        <v>59</v>
      </c>
      <c r="Y73" s="11" t="s">
        <v>60</v>
      </c>
      <c r="Z73" s="11" t="s">
        <v>61</v>
      </c>
      <c r="AA73" s="11" t="s">
        <v>62</v>
      </c>
      <c r="AB73" s="11" t="s">
        <v>63</v>
      </c>
      <c r="AC73" s="11" t="s">
        <v>64</v>
      </c>
      <c r="AD73" s="11" t="s">
        <v>65</v>
      </c>
      <c r="AE73" s="11" t="s">
        <v>66</v>
      </c>
      <c r="AF73" s="11" t="s">
        <v>67</v>
      </c>
      <c r="AG73" s="11" t="s">
        <v>68</v>
      </c>
      <c r="AH73" s="11" t="s">
        <v>69</v>
      </c>
      <c r="AI73" s="11" t="s">
        <v>70</v>
      </c>
      <c r="AJ73" s="11" t="s">
        <v>71</v>
      </c>
      <c r="AK73" s="11" t="s">
        <v>72</v>
      </c>
      <c r="AL73" s="11" t="s">
        <v>73</v>
      </c>
      <c r="AM73" s="11" t="s">
        <v>74</v>
      </c>
    </row>
    <row r="74" spans="2:39" x14ac:dyDescent="0.2">
      <c r="B74" s="22" t="str">
        <f>'Wzorzec kategorii'!B36</f>
        <v>Jedzenie dom</v>
      </c>
      <c r="C74" s="19">
        <v>0</v>
      </c>
      <c r="D74" s="20">
        <f>SUM(Tabela330[#This Row])</f>
        <v>0</v>
      </c>
      <c r="E74" s="20">
        <f t="shared" si="5"/>
        <v>0</v>
      </c>
      <c r="F74" s="21" t="str">
        <f t="shared" si="6"/>
        <v/>
      </c>
      <c r="G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2:39" x14ac:dyDescent="0.2">
      <c r="B75" s="22" t="str">
        <f>'Wzorzec kategorii'!B37</f>
        <v>Jedzenie miasto</v>
      </c>
      <c r="C75" s="19">
        <v>0</v>
      </c>
      <c r="D75" s="20">
        <f>SUM(Tabela330[#This Row])</f>
        <v>0</v>
      </c>
      <c r="E75" s="20">
        <f t="shared" si="5"/>
        <v>0</v>
      </c>
      <c r="F75" s="21" t="str">
        <f t="shared" si="6"/>
        <v/>
      </c>
      <c r="G75" s="2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:39" x14ac:dyDescent="0.2">
      <c r="B76" s="22" t="str">
        <f>'Wzorzec kategorii'!B38</f>
        <v>Jedzenie praca</v>
      </c>
      <c r="C76" s="19">
        <v>0</v>
      </c>
      <c r="D76" s="20">
        <f>SUM(Tabela330[#This Row])</f>
        <v>0</v>
      </c>
      <c r="E76" s="20">
        <f t="shared" si="5"/>
        <v>0</v>
      </c>
      <c r="F76" s="21" t="str">
        <f t="shared" si="6"/>
        <v/>
      </c>
      <c r="G76" s="2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2:39" x14ac:dyDescent="0.2">
      <c r="B77" s="22" t="str">
        <f>'Wzorzec kategorii'!B39</f>
        <v>Alkohol</v>
      </c>
      <c r="C77" s="19">
        <v>0</v>
      </c>
      <c r="D77" s="20">
        <f>SUM(Tabela330[#This Row])</f>
        <v>0</v>
      </c>
      <c r="E77" s="20">
        <f t="shared" si="5"/>
        <v>0</v>
      </c>
      <c r="F77" s="21" t="str">
        <f t="shared" si="6"/>
        <v/>
      </c>
      <c r="G77" s="2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2:39" x14ac:dyDescent="0.2">
      <c r="B78" s="22" t="str">
        <f>'Wzorzec kategorii'!B40</f>
        <v>Inne</v>
      </c>
      <c r="C78" s="19">
        <v>0</v>
      </c>
      <c r="D78" s="20">
        <f>SUM(Tabela330[#This Row])</f>
        <v>0</v>
      </c>
      <c r="E78" s="20">
        <f t="shared" si="5"/>
        <v>0</v>
      </c>
      <c r="F78" s="21" t="str">
        <f t="shared" si="6"/>
        <v/>
      </c>
      <c r="G78" s="2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:39" x14ac:dyDescent="0.2">
      <c r="B79" s="22" t="str">
        <f>'Wzorzec kategorii'!B41</f>
        <v>.</v>
      </c>
      <c r="C79" s="19">
        <v>0</v>
      </c>
      <c r="D79" s="20">
        <f>SUM(Tabela330[#This Row])</f>
        <v>0</v>
      </c>
      <c r="E79" s="20">
        <f t="shared" ref="E79:E83" si="7">C79-D79</f>
        <v>0</v>
      </c>
      <c r="F79" s="53" t="str">
        <f t="shared" ref="F79:F83" si="8">IFERROR(D79/C79,"")</f>
        <v/>
      </c>
      <c r="G79" s="5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:39" x14ac:dyDescent="0.2">
      <c r="B80" s="22" t="str">
        <f>'Wzorzec kategorii'!B42</f>
        <v>.</v>
      </c>
      <c r="C80" s="19">
        <v>0</v>
      </c>
      <c r="D80" s="20">
        <f>SUM(Tabela330[#This Row])</f>
        <v>0</v>
      </c>
      <c r="E80" s="20">
        <f t="shared" si="7"/>
        <v>0</v>
      </c>
      <c r="F80" s="53" t="str">
        <f t="shared" si="8"/>
        <v/>
      </c>
      <c r="G80" s="5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2:41" x14ac:dyDescent="0.2">
      <c r="B81" s="22" t="str">
        <f>'Wzorzec kategorii'!B43</f>
        <v>.</v>
      </c>
      <c r="C81" s="19">
        <v>0</v>
      </c>
      <c r="D81" s="20">
        <f>SUM(Tabela330[#This Row])</f>
        <v>0</v>
      </c>
      <c r="E81" s="20">
        <f t="shared" si="7"/>
        <v>0</v>
      </c>
      <c r="F81" s="53" t="str">
        <f t="shared" si="8"/>
        <v/>
      </c>
      <c r="G81" s="5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2:41" x14ac:dyDescent="0.2">
      <c r="B82" s="22" t="str">
        <f>'Wzorzec kategorii'!B44</f>
        <v>.</v>
      </c>
      <c r="C82" s="19">
        <v>0</v>
      </c>
      <c r="D82" s="20">
        <f>SUM(Tabela330[#This Row])</f>
        <v>0</v>
      </c>
      <c r="E82" s="20">
        <f t="shared" si="7"/>
        <v>0</v>
      </c>
      <c r="F82" s="53" t="str">
        <f t="shared" si="8"/>
        <v/>
      </c>
      <c r="G82" s="5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2:41" x14ac:dyDescent="0.2">
      <c r="B83" s="22" t="str">
        <f>'Wzorzec kategorii'!B45</f>
        <v>.</v>
      </c>
      <c r="C83" s="19">
        <v>0</v>
      </c>
      <c r="D83" s="20">
        <f>SUM(Tabela330[#This Row])</f>
        <v>0</v>
      </c>
      <c r="E83" s="20">
        <f t="shared" si="7"/>
        <v>0</v>
      </c>
      <c r="F83" s="53" t="str">
        <f t="shared" si="8"/>
        <v/>
      </c>
      <c r="G83" s="5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2:41" x14ac:dyDescent="0.2">
      <c r="B84" s="5" t="s">
        <v>30</v>
      </c>
      <c r="C84" s="6"/>
      <c r="D84" s="4"/>
      <c r="E84" s="4"/>
      <c r="F84" s="4"/>
      <c r="G84" s="4"/>
      <c r="I84" s="5" t="s">
        <v>30</v>
      </c>
    </row>
    <row r="85" spans="2:41" x14ac:dyDescent="0.2">
      <c r="B85" s="14" t="str">
        <f>'Wzorzec kategorii'!B47</f>
        <v>Mieszkanie / dom</v>
      </c>
      <c r="C85" s="15">
        <f>SUM(Tabela431[[#All],[Kolumna2]])</f>
        <v>0</v>
      </c>
      <c r="D85" s="16">
        <f>SUM(Tabela431[[#All],[Kolumna3]])</f>
        <v>0</v>
      </c>
      <c r="E85" s="15">
        <f>C85-D85</f>
        <v>0</v>
      </c>
      <c r="F85" s="17" t="str">
        <f>IFERROR(D85/C85,"")</f>
        <v/>
      </c>
      <c r="G85" s="23"/>
      <c r="I85" s="11" t="s">
        <v>44</v>
      </c>
      <c r="J85" s="11" t="s">
        <v>45</v>
      </c>
      <c r="K85" s="11" t="s">
        <v>46</v>
      </c>
      <c r="L85" s="11" t="s">
        <v>47</v>
      </c>
      <c r="M85" s="11" t="s">
        <v>48</v>
      </c>
      <c r="N85" s="11" t="s">
        <v>49</v>
      </c>
      <c r="O85" s="11" t="s">
        <v>50</v>
      </c>
      <c r="P85" s="11" t="s">
        <v>51</v>
      </c>
      <c r="Q85" s="11" t="s">
        <v>52</v>
      </c>
      <c r="R85" s="11" t="s">
        <v>53</v>
      </c>
      <c r="S85" s="11" t="s">
        <v>54</v>
      </c>
      <c r="T85" s="11" t="s">
        <v>55</v>
      </c>
      <c r="U85" s="11" t="s">
        <v>56</v>
      </c>
      <c r="V85" s="11" t="s">
        <v>57</v>
      </c>
      <c r="W85" s="11" t="s">
        <v>58</v>
      </c>
      <c r="X85" s="11" t="s">
        <v>59</v>
      </c>
      <c r="Y85" s="11" t="s">
        <v>60</v>
      </c>
      <c r="Z85" s="11" t="s">
        <v>61</v>
      </c>
      <c r="AA85" s="11" t="s">
        <v>62</v>
      </c>
      <c r="AB85" s="11" t="s">
        <v>63</v>
      </c>
      <c r="AC85" s="11" t="s">
        <v>64</v>
      </c>
      <c r="AD85" s="11" t="s">
        <v>65</v>
      </c>
      <c r="AE85" s="11" t="s">
        <v>66</v>
      </c>
      <c r="AF85" s="11" t="s">
        <v>67</v>
      </c>
      <c r="AG85" s="11" t="s">
        <v>68</v>
      </c>
      <c r="AH85" s="11" t="s">
        <v>69</v>
      </c>
      <c r="AI85" s="11" t="s">
        <v>70</v>
      </c>
      <c r="AJ85" s="11" t="s">
        <v>71</v>
      </c>
      <c r="AK85" s="11" t="s">
        <v>72</v>
      </c>
      <c r="AL85" s="11" t="s">
        <v>73</v>
      </c>
      <c r="AM85" s="11" t="s">
        <v>74</v>
      </c>
      <c r="AN85" s="25"/>
      <c r="AO85" s="25"/>
    </row>
    <row r="86" spans="2:41" x14ac:dyDescent="0.2">
      <c r="B86" s="22" t="str">
        <f>'Wzorzec kategorii'!B48</f>
        <v>Czynsz</v>
      </c>
      <c r="C86" s="19">
        <v>0</v>
      </c>
      <c r="D86" s="20">
        <f>SUM(Tabela1841[#This Row])</f>
        <v>0</v>
      </c>
      <c r="E86" s="20">
        <f t="shared" ref="E86:E95" si="9">C86-D86</f>
        <v>0</v>
      </c>
      <c r="F86" s="21" t="str">
        <f t="shared" ref="F86:F95" si="10">IFERROR(D86/C86,"")</f>
        <v/>
      </c>
      <c r="G86" s="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25"/>
      <c r="AO86" s="25"/>
    </row>
    <row r="87" spans="2:41" x14ac:dyDescent="0.2">
      <c r="B87" s="22" t="str">
        <f>'Wzorzec kategorii'!B49</f>
        <v>Woda i kanalizacja</v>
      </c>
      <c r="C87" s="19">
        <v>0</v>
      </c>
      <c r="D87" s="20">
        <f>SUM(Tabela1841[#This Row])</f>
        <v>0</v>
      </c>
      <c r="E87" s="20">
        <f t="shared" si="9"/>
        <v>0</v>
      </c>
      <c r="F87" s="21" t="str">
        <f t="shared" si="10"/>
        <v/>
      </c>
      <c r="G87" s="2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25"/>
      <c r="AO87" s="25"/>
    </row>
    <row r="88" spans="2:41" x14ac:dyDescent="0.2">
      <c r="B88" s="22" t="str">
        <f>'Wzorzec kategorii'!B50</f>
        <v>Prąd</v>
      </c>
      <c r="C88" s="19">
        <v>0</v>
      </c>
      <c r="D88" s="20">
        <f>SUM(Tabela1841[#This Row])</f>
        <v>0</v>
      </c>
      <c r="E88" s="20">
        <f t="shared" si="9"/>
        <v>0</v>
      </c>
      <c r="F88" s="21" t="str">
        <f t="shared" si="10"/>
        <v/>
      </c>
      <c r="G88" s="2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25"/>
      <c r="AO88" s="25"/>
    </row>
    <row r="89" spans="2:41" x14ac:dyDescent="0.2">
      <c r="B89" s="22" t="str">
        <f>'Wzorzec kategorii'!B51</f>
        <v>Gaz</v>
      </c>
      <c r="C89" s="19">
        <v>0</v>
      </c>
      <c r="D89" s="20">
        <f>SUM(Tabela1841[#This Row])</f>
        <v>0</v>
      </c>
      <c r="E89" s="20">
        <f t="shared" si="9"/>
        <v>0</v>
      </c>
      <c r="F89" s="21" t="str">
        <f t="shared" si="10"/>
        <v/>
      </c>
      <c r="G89" s="2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25"/>
      <c r="AO89" s="25"/>
    </row>
    <row r="90" spans="2:41" x14ac:dyDescent="0.2">
      <c r="B90" s="22" t="str">
        <f>'Wzorzec kategorii'!B52</f>
        <v>Ogrzewanie</v>
      </c>
      <c r="C90" s="19">
        <v>0</v>
      </c>
      <c r="D90" s="20">
        <f>SUM(Tabela1841[#This Row])</f>
        <v>0</v>
      </c>
      <c r="E90" s="20">
        <f t="shared" si="9"/>
        <v>0</v>
      </c>
      <c r="F90" s="21" t="str">
        <f t="shared" si="10"/>
        <v/>
      </c>
      <c r="G90" s="24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25"/>
      <c r="AO90" s="25"/>
    </row>
    <row r="91" spans="2:41" x14ac:dyDescent="0.2">
      <c r="B91" s="22" t="str">
        <f>'Wzorzec kategorii'!B53</f>
        <v>Wywóz śmieci</v>
      </c>
      <c r="C91" s="19">
        <v>0</v>
      </c>
      <c r="D91" s="20">
        <f>SUM(Tabela1841[#This Row])</f>
        <v>0</v>
      </c>
      <c r="E91" s="20">
        <f t="shared" si="9"/>
        <v>0</v>
      </c>
      <c r="F91" s="21" t="str">
        <f t="shared" si="10"/>
        <v/>
      </c>
      <c r="G91" s="24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25"/>
      <c r="AO91" s="25"/>
    </row>
    <row r="92" spans="2:41" x14ac:dyDescent="0.2">
      <c r="B92" s="22" t="str">
        <f>'Wzorzec kategorii'!B54</f>
        <v>Konserwacja i naprawy</v>
      </c>
      <c r="C92" s="19">
        <v>0</v>
      </c>
      <c r="D92" s="20">
        <f>SUM(Tabela1841[#This Row])</f>
        <v>0</v>
      </c>
      <c r="E92" s="20">
        <f t="shared" si="9"/>
        <v>0</v>
      </c>
      <c r="F92" s="21" t="str">
        <f t="shared" si="10"/>
        <v/>
      </c>
      <c r="G92" s="2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25"/>
      <c r="AO92" s="25"/>
    </row>
    <row r="93" spans="2:41" x14ac:dyDescent="0.2">
      <c r="B93" s="22" t="str">
        <f>'Wzorzec kategorii'!B55</f>
        <v>Wyposażenie</v>
      </c>
      <c r="C93" s="19">
        <v>0</v>
      </c>
      <c r="D93" s="20">
        <f>SUM(Tabela1841[#This Row])</f>
        <v>0</v>
      </c>
      <c r="E93" s="20">
        <f t="shared" si="9"/>
        <v>0</v>
      </c>
      <c r="F93" s="21" t="str">
        <f t="shared" si="10"/>
        <v/>
      </c>
      <c r="G93" s="2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25"/>
      <c r="AO93" s="25"/>
    </row>
    <row r="94" spans="2:41" x14ac:dyDescent="0.2">
      <c r="B94" s="22" t="str">
        <f>'Wzorzec kategorii'!B56</f>
        <v>Ubezpieczenie nieruchomości</v>
      </c>
      <c r="C94" s="19">
        <v>0</v>
      </c>
      <c r="D94" s="20">
        <f>SUM(Tabela1841[#This Row])</f>
        <v>0</v>
      </c>
      <c r="E94" s="20">
        <f t="shared" si="9"/>
        <v>0</v>
      </c>
      <c r="F94" s="21" t="str">
        <f t="shared" si="10"/>
        <v/>
      </c>
      <c r="G94" s="2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25"/>
      <c r="AO94" s="25"/>
    </row>
    <row r="95" spans="2:41" x14ac:dyDescent="0.2">
      <c r="B95" s="22" t="str">
        <f>'Wzorzec kategorii'!B57</f>
        <v>Inne</v>
      </c>
      <c r="C95" s="19">
        <v>0</v>
      </c>
      <c r="D95" s="20">
        <f>SUM(Tabela1841[#This Row])</f>
        <v>0</v>
      </c>
      <c r="E95" s="20">
        <f t="shared" si="9"/>
        <v>0</v>
      </c>
      <c r="F95" s="21" t="str">
        <f t="shared" si="10"/>
        <v/>
      </c>
      <c r="G95" s="2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25"/>
      <c r="AO95" s="25"/>
    </row>
    <row r="96" spans="2:41" x14ac:dyDescent="0.2">
      <c r="B96" s="5" t="s">
        <v>30</v>
      </c>
      <c r="C96" s="6"/>
      <c r="D96" s="4"/>
      <c r="E96" s="4"/>
      <c r="F96" s="4"/>
      <c r="G96" s="4"/>
      <c r="I96" s="26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</row>
    <row r="97" spans="2:41" x14ac:dyDescent="0.2">
      <c r="B97" s="2" t="str">
        <f>'Wzorzec kategorii'!B59</f>
        <v>Transport</v>
      </c>
      <c r="C97" s="3">
        <f>SUM(Transport3[[#All],[Kolumna2]])</f>
        <v>0</v>
      </c>
      <c r="D97" s="16">
        <f>SUM(Transport3[[#All],[Kolumna3]])</f>
        <v>0</v>
      </c>
      <c r="E97" s="3">
        <f>C97-D97</f>
        <v>0</v>
      </c>
      <c r="F97" s="17" t="str">
        <f>IFERROR(D97/C97,"")</f>
        <v/>
      </c>
      <c r="G97" s="3"/>
      <c r="I97" s="11" t="s">
        <v>44</v>
      </c>
      <c r="J97" s="11" t="s">
        <v>45</v>
      </c>
      <c r="K97" s="11" t="s">
        <v>46</v>
      </c>
      <c r="L97" s="11" t="s">
        <v>47</v>
      </c>
      <c r="M97" s="11" t="s">
        <v>48</v>
      </c>
      <c r="N97" s="11" t="s">
        <v>49</v>
      </c>
      <c r="O97" s="11" t="s">
        <v>50</v>
      </c>
      <c r="P97" s="11" t="s">
        <v>51</v>
      </c>
      <c r="Q97" s="11" t="s">
        <v>52</v>
      </c>
      <c r="R97" s="11" t="s">
        <v>53</v>
      </c>
      <c r="S97" s="11" t="s">
        <v>54</v>
      </c>
      <c r="T97" s="11" t="s">
        <v>55</v>
      </c>
      <c r="U97" s="11" t="s">
        <v>56</v>
      </c>
      <c r="V97" s="11" t="s">
        <v>57</v>
      </c>
      <c r="W97" s="11" t="s">
        <v>58</v>
      </c>
      <c r="X97" s="11" t="s">
        <v>59</v>
      </c>
      <c r="Y97" s="11" t="s">
        <v>60</v>
      </c>
      <c r="Z97" s="11" t="s">
        <v>61</v>
      </c>
      <c r="AA97" s="11" t="s">
        <v>62</v>
      </c>
      <c r="AB97" s="11" t="s">
        <v>63</v>
      </c>
      <c r="AC97" s="11" t="s">
        <v>64</v>
      </c>
      <c r="AD97" s="11" t="s">
        <v>65</v>
      </c>
      <c r="AE97" s="11" t="s">
        <v>66</v>
      </c>
      <c r="AF97" s="11" t="s">
        <v>67</v>
      </c>
      <c r="AG97" s="11" t="s">
        <v>68</v>
      </c>
      <c r="AH97" s="11" t="s">
        <v>69</v>
      </c>
      <c r="AI97" s="11" t="s">
        <v>70</v>
      </c>
      <c r="AJ97" s="11" t="s">
        <v>71</v>
      </c>
      <c r="AK97" s="11" t="s">
        <v>72</v>
      </c>
      <c r="AL97" s="11" t="s">
        <v>73</v>
      </c>
      <c r="AM97" s="11" t="s">
        <v>74</v>
      </c>
      <c r="AN97" s="25"/>
      <c r="AO97" s="25"/>
    </row>
    <row r="98" spans="2:41" x14ac:dyDescent="0.2">
      <c r="B98" s="22" t="str">
        <f>'Wzorzec kategorii'!B60</f>
        <v>Paliwo do auta</v>
      </c>
      <c r="C98" s="19">
        <v>0</v>
      </c>
      <c r="D98" s="20">
        <f>SUM(Tabela1942[#This Row])</f>
        <v>0</v>
      </c>
      <c r="E98" s="20">
        <f t="shared" ref="E98:E105" si="11">C98-D98</f>
        <v>0</v>
      </c>
      <c r="F98" s="21" t="str">
        <f t="shared" ref="F98:F105" si="12">IFERROR(D98/C98,"")</f>
        <v/>
      </c>
      <c r="G98" s="24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25"/>
      <c r="AO98" s="25"/>
    </row>
    <row r="99" spans="2:41" x14ac:dyDescent="0.2">
      <c r="B99" s="22" t="str">
        <f>'Wzorzec kategorii'!B61</f>
        <v>Przeglądy i naprawy auta</v>
      </c>
      <c r="C99" s="19">
        <v>0</v>
      </c>
      <c r="D99" s="20">
        <f>SUM(Tabela1942[#This Row])</f>
        <v>0</v>
      </c>
      <c r="E99" s="20">
        <f t="shared" si="11"/>
        <v>0</v>
      </c>
      <c r="F99" s="21" t="str">
        <f t="shared" si="12"/>
        <v/>
      </c>
      <c r="G99" s="2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25"/>
      <c r="AO99" s="25"/>
    </row>
    <row r="100" spans="2:41" ht="30" x14ac:dyDescent="0.2">
      <c r="B100" s="22" t="str">
        <f>'Wzorzec kategorii'!B62</f>
        <v>Wyposażenie dodatkowe (opony)</v>
      </c>
      <c r="C100" s="19">
        <v>0</v>
      </c>
      <c r="D100" s="20">
        <f>SUM(Tabela1942[#This Row])</f>
        <v>0</v>
      </c>
      <c r="E100" s="20">
        <f t="shared" si="11"/>
        <v>0</v>
      </c>
      <c r="F100" s="21" t="str">
        <f t="shared" si="12"/>
        <v/>
      </c>
      <c r="G100" s="2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25"/>
      <c r="AO100" s="25"/>
    </row>
    <row r="101" spans="2:41" x14ac:dyDescent="0.2">
      <c r="B101" s="22" t="str">
        <f>'Wzorzec kategorii'!B63</f>
        <v>Ubezpieczenie auta</v>
      </c>
      <c r="C101" s="19">
        <v>0</v>
      </c>
      <c r="D101" s="20">
        <f>SUM(Tabela1942[#This Row])</f>
        <v>0</v>
      </c>
      <c r="E101" s="20">
        <f t="shared" si="11"/>
        <v>0</v>
      </c>
      <c r="F101" s="21" t="str">
        <f t="shared" si="12"/>
        <v/>
      </c>
      <c r="G101" s="2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25"/>
      <c r="AO101" s="25"/>
    </row>
    <row r="102" spans="2:41" x14ac:dyDescent="0.2">
      <c r="B102" s="22" t="str">
        <f>'Wzorzec kategorii'!B64</f>
        <v>Bilet komunikacji miejskiej</v>
      </c>
      <c r="C102" s="19">
        <v>0</v>
      </c>
      <c r="D102" s="20">
        <f>SUM(Tabela1942[#This Row])</f>
        <v>0</v>
      </c>
      <c r="E102" s="20">
        <f t="shared" si="11"/>
        <v>0</v>
      </c>
      <c r="F102" s="21" t="str">
        <f t="shared" si="12"/>
        <v/>
      </c>
      <c r="G102" s="2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25"/>
      <c r="AO102" s="25"/>
    </row>
    <row r="103" spans="2:41" x14ac:dyDescent="0.2">
      <c r="B103" s="22" t="str">
        <f>'Wzorzec kategorii'!B65</f>
        <v>Bilet PKP, PKS</v>
      </c>
      <c r="C103" s="19">
        <v>0</v>
      </c>
      <c r="D103" s="20">
        <f>SUM(Tabela1942[#This Row])</f>
        <v>0</v>
      </c>
      <c r="E103" s="20">
        <f t="shared" si="11"/>
        <v>0</v>
      </c>
      <c r="F103" s="21" t="str">
        <f t="shared" si="12"/>
        <v/>
      </c>
      <c r="G103" s="24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25"/>
      <c r="AO103" s="25"/>
    </row>
    <row r="104" spans="2:41" x14ac:dyDescent="0.2">
      <c r="B104" s="22" t="str">
        <f>'Wzorzec kategorii'!B66</f>
        <v>Taxi</v>
      </c>
      <c r="C104" s="19">
        <v>0</v>
      </c>
      <c r="D104" s="20">
        <f>SUM(Tabela1942[#This Row])</f>
        <v>0</v>
      </c>
      <c r="E104" s="20">
        <f t="shared" si="11"/>
        <v>0</v>
      </c>
      <c r="F104" s="21" t="str">
        <f t="shared" si="12"/>
        <v/>
      </c>
      <c r="G104" s="24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25"/>
      <c r="AO104" s="25"/>
    </row>
    <row r="105" spans="2:41" x14ac:dyDescent="0.2">
      <c r="B105" s="22" t="str">
        <f>'Wzorzec kategorii'!B67</f>
        <v>Inne</v>
      </c>
      <c r="C105" s="19">
        <v>0</v>
      </c>
      <c r="D105" s="20">
        <f>SUM(Tabela1942[#This Row])</f>
        <v>0</v>
      </c>
      <c r="E105" s="20">
        <f t="shared" si="11"/>
        <v>0</v>
      </c>
      <c r="F105" s="21" t="str">
        <f t="shared" si="12"/>
        <v/>
      </c>
      <c r="G105" s="2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25"/>
      <c r="AO105" s="25"/>
    </row>
    <row r="106" spans="2:41" x14ac:dyDescent="0.2">
      <c r="B106" s="22" t="str">
        <f>'Wzorzec kategorii'!B68</f>
        <v>.</v>
      </c>
      <c r="C106" s="19">
        <v>0</v>
      </c>
      <c r="D106" s="20">
        <f>SUM(Tabela1942[#This Row])</f>
        <v>0</v>
      </c>
      <c r="E106" s="20">
        <f t="shared" ref="E106:E107" si="13">C106-D106</f>
        <v>0</v>
      </c>
      <c r="F106" s="53" t="str">
        <f t="shared" ref="F106:F107" si="14">IFERROR(D106/C106,"")</f>
        <v/>
      </c>
      <c r="G106" s="54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25"/>
      <c r="AO106" s="25"/>
    </row>
    <row r="107" spans="2:41" x14ac:dyDescent="0.2">
      <c r="B107" s="22" t="str">
        <f>'Wzorzec kategorii'!B69</f>
        <v>.</v>
      </c>
      <c r="C107" s="19">
        <v>0</v>
      </c>
      <c r="D107" s="20">
        <f>SUM(Tabela1942[#This Row])</f>
        <v>0</v>
      </c>
      <c r="E107" s="20">
        <f t="shared" si="13"/>
        <v>0</v>
      </c>
      <c r="F107" s="53" t="str">
        <f t="shared" si="14"/>
        <v/>
      </c>
      <c r="G107" s="54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25"/>
      <c r="AO107" s="25"/>
    </row>
    <row r="108" spans="2:41" x14ac:dyDescent="0.2">
      <c r="B108" s="5" t="s">
        <v>30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</row>
    <row r="109" spans="2:41" x14ac:dyDescent="0.2">
      <c r="B109" s="2" t="str">
        <f>'Wzorzec kategorii'!B71</f>
        <v>Telekomunikacja</v>
      </c>
      <c r="C109" s="3">
        <f>SUM(Tabela832[[#All],[Kolumna2]])</f>
        <v>0</v>
      </c>
      <c r="D109" s="16">
        <f>SUM(Tabela832[[#All],[Kolumna3]])</f>
        <v>0</v>
      </c>
      <c r="E109" s="3">
        <f>C109-D109</f>
        <v>0</v>
      </c>
      <c r="F109" s="17" t="str">
        <f t="shared" ref="F109:F114" si="15">IFERROR(D109/C109,"")</f>
        <v/>
      </c>
      <c r="G109" s="3"/>
      <c r="I109" s="11" t="s">
        <v>44</v>
      </c>
      <c r="J109" s="11" t="s">
        <v>45</v>
      </c>
      <c r="K109" s="11" t="s">
        <v>46</v>
      </c>
      <c r="L109" s="11" t="s">
        <v>47</v>
      </c>
      <c r="M109" s="11" t="s">
        <v>48</v>
      </c>
      <c r="N109" s="11" t="s">
        <v>49</v>
      </c>
      <c r="O109" s="11" t="s">
        <v>50</v>
      </c>
      <c r="P109" s="11" t="s">
        <v>51</v>
      </c>
      <c r="Q109" s="11" t="s">
        <v>52</v>
      </c>
      <c r="R109" s="11" t="s">
        <v>53</v>
      </c>
      <c r="S109" s="11" t="s">
        <v>54</v>
      </c>
      <c r="T109" s="11" t="s">
        <v>55</v>
      </c>
      <c r="U109" s="11" t="s">
        <v>56</v>
      </c>
      <c r="V109" s="11" t="s">
        <v>57</v>
      </c>
      <c r="W109" s="11" t="s">
        <v>58</v>
      </c>
      <c r="X109" s="11" t="s">
        <v>59</v>
      </c>
      <c r="Y109" s="11" t="s">
        <v>60</v>
      </c>
      <c r="Z109" s="11" t="s">
        <v>61</v>
      </c>
      <c r="AA109" s="11" t="s">
        <v>62</v>
      </c>
      <c r="AB109" s="11" t="s">
        <v>63</v>
      </c>
      <c r="AC109" s="11" t="s">
        <v>64</v>
      </c>
      <c r="AD109" s="11" t="s">
        <v>65</v>
      </c>
      <c r="AE109" s="11" t="s">
        <v>66</v>
      </c>
      <c r="AF109" s="11" t="s">
        <v>67</v>
      </c>
      <c r="AG109" s="11" t="s">
        <v>68</v>
      </c>
      <c r="AH109" s="11" t="s">
        <v>69</v>
      </c>
      <c r="AI109" s="11" t="s">
        <v>70</v>
      </c>
      <c r="AJ109" s="11" t="s">
        <v>71</v>
      </c>
      <c r="AK109" s="11" t="s">
        <v>72</v>
      </c>
      <c r="AL109" s="11" t="s">
        <v>73</v>
      </c>
      <c r="AM109" s="11" t="s">
        <v>74</v>
      </c>
      <c r="AN109" s="25"/>
      <c r="AO109" s="25"/>
    </row>
    <row r="110" spans="2:41" x14ac:dyDescent="0.2">
      <c r="B110" s="22" t="str">
        <f>'Wzorzec kategorii'!B72</f>
        <v>Telefon 1</v>
      </c>
      <c r="C110" s="19">
        <v>0</v>
      </c>
      <c r="D110" s="20">
        <f>SUM(Tabela192143[#This Row])</f>
        <v>0</v>
      </c>
      <c r="E110" s="20">
        <f t="shared" ref="E110:E114" si="16">C110-D110</f>
        <v>0</v>
      </c>
      <c r="F110" s="21" t="str">
        <f t="shared" si="15"/>
        <v/>
      </c>
      <c r="G110" s="24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25"/>
      <c r="AO110" s="25"/>
    </row>
    <row r="111" spans="2:41" x14ac:dyDescent="0.2">
      <c r="B111" s="22" t="str">
        <f>'Wzorzec kategorii'!B73</f>
        <v>Telefon 2</v>
      </c>
      <c r="C111" s="19">
        <v>0</v>
      </c>
      <c r="D111" s="20">
        <f>SUM(Tabela192143[#This Row])</f>
        <v>0</v>
      </c>
      <c r="E111" s="20">
        <f t="shared" si="16"/>
        <v>0</v>
      </c>
      <c r="F111" s="21" t="str">
        <f t="shared" si="15"/>
        <v/>
      </c>
      <c r="G111" s="24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25"/>
      <c r="AO111" s="25"/>
    </row>
    <row r="112" spans="2:41" x14ac:dyDescent="0.2">
      <c r="B112" s="22" t="str">
        <f>'Wzorzec kategorii'!B74</f>
        <v>TV</v>
      </c>
      <c r="C112" s="19">
        <v>0</v>
      </c>
      <c r="D112" s="20">
        <f>SUM(Tabela192143[#This Row])</f>
        <v>0</v>
      </c>
      <c r="E112" s="20">
        <f t="shared" si="16"/>
        <v>0</v>
      </c>
      <c r="F112" s="21" t="str">
        <f t="shared" si="15"/>
        <v/>
      </c>
      <c r="G112" s="2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5"/>
      <c r="AO112" s="25"/>
    </row>
    <row r="113" spans="2:41" x14ac:dyDescent="0.2">
      <c r="B113" s="22" t="str">
        <f>'Wzorzec kategorii'!B75</f>
        <v>Internet</v>
      </c>
      <c r="C113" s="19">
        <v>0</v>
      </c>
      <c r="D113" s="20">
        <f>SUM(Tabela192143[#This Row])</f>
        <v>0</v>
      </c>
      <c r="E113" s="20">
        <f t="shared" si="16"/>
        <v>0</v>
      </c>
      <c r="F113" s="21" t="str">
        <f t="shared" si="15"/>
        <v/>
      </c>
      <c r="G113" s="2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25"/>
      <c r="AO113" s="25"/>
    </row>
    <row r="114" spans="2:41" x14ac:dyDescent="0.2">
      <c r="B114" s="22" t="str">
        <f>'Wzorzec kategorii'!B76</f>
        <v>Inne</v>
      </c>
      <c r="C114" s="19">
        <v>0</v>
      </c>
      <c r="D114" s="20">
        <f>SUM(Tabela192143[#This Row])</f>
        <v>0</v>
      </c>
      <c r="E114" s="20">
        <f t="shared" si="16"/>
        <v>0</v>
      </c>
      <c r="F114" s="21" t="str">
        <f t="shared" si="15"/>
        <v/>
      </c>
      <c r="G114" s="2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25"/>
      <c r="AO114" s="25"/>
    </row>
    <row r="115" spans="2:41" x14ac:dyDescent="0.2">
      <c r="B115" s="22" t="str">
        <f>'Wzorzec kategorii'!B77</f>
        <v>.</v>
      </c>
      <c r="C115" s="19">
        <v>0</v>
      </c>
      <c r="D115" s="20">
        <f>SUM(Tabela192143[#This Row])</f>
        <v>0</v>
      </c>
      <c r="E115" s="20">
        <f t="shared" ref="E115:E119" si="17">C115-D115</f>
        <v>0</v>
      </c>
      <c r="F115" s="53" t="str">
        <f t="shared" ref="F115:F119" si="18">IFERROR(D115/C115,"")</f>
        <v/>
      </c>
      <c r="G115" s="54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25"/>
      <c r="AO115" s="25"/>
    </row>
    <row r="116" spans="2:41" x14ac:dyDescent="0.2">
      <c r="B116" s="22" t="str">
        <f>'Wzorzec kategorii'!B78</f>
        <v>.</v>
      </c>
      <c r="C116" s="19">
        <v>0</v>
      </c>
      <c r="D116" s="20">
        <f>SUM(Tabela192143[#This Row])</f>
        <v>0</v>
      </c>
      <c r="E116" s="20">
        <f t="shared" si="17"/>
        <v>0</v>
      </c>
      <c r="F116" s="53" t="str">
        <f t="shared" si="18"/>
        <v/>
      </c>
      <c r="G116" s="54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25"/>
      <c r="AO116" s="25"/>
    </row>
    <row r="117" spans="2:41" x14ac:dyDescent="0.2">
      <c r="B117" s="22" t="str">
        <f>'Wzorzec kategorii'!B79</f>
        <v>.</v>
      </c>
      <c r="C117" s="19">
        <v>0</v>
      </c>
      <c r="D117" s="20">
        <f>SUM(Tabela192143[#This Row])</f>
        <v>0</v>
      </c>
      <c r="E117" s="20">
        <f t="shared" si="17"/>
        <v>0</v>
      </c>
      <c r="F117" s="53" t="str">
        <f t="shared" si="18"/>
        <v/>
      </c>
      <c r="G117" s="54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25"/>
      <c r="AO117" s="25"/>
    </row>
    <row r="118" spans="2:41" x14ac:dyDescent="0.2">
      <c r="B118" s="22" t="str">
        <f>'Wzorzec kategorii'!B80</f>
        <v>.</v>
      </c>
      <c r="C118" s="19">
        <v>0</v>
      </c>
      <c r="D118" s="20">
        <f>SUM(Tabela192143[#This Row])</f>
        <v>0</v>
      </c>
      <c r="E118" s="20">
        <f t="shared" si="17"/>
        <v>0</v>
      </c>
      <c r="F118" s="53" t="str">
        <f t="shared" si="18"/>
        <v/>
      </c>
      <c r="G118" s="54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25"/>
      <c r="AO118" s="25"/>
    </row>
    <row r="119" spans="2:41" x14ac:dyDescent="0.2">
      <c r="B119" s="22" t="str">
        <f>'Wzorzec kategorii'!B81</f>
        <v>.</v>
      </c>
      <c r="C119" s="19">
        <v>0</v>
      </c>
      <c r="D119" s="20">
        <f>SUM(Tabela192143[#This Row])</f>
        <v>0</v>
      </c>
      <c r="E119" s="20">
        <f t="shared" si="17"/>
        <v>0</v>
      </c>
      <c r="F119" s="53" t="str">
        <f t="shared" si="18"/>
        <v/>
      </c>
      <c r="G119" s="54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25"/>
      <c r="AO119" s="25"/>
    </row>
    <row r="120" spans="2:41" x14ac:dyDescent="0.2"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</row>
    <row r="121" spans="2:41" x14ac:dyDescent="0.2">
      <c r="B121" s="2" t="str">
        <f>'Wzorzec kategorii'!B83</f>
        <v>Opieka zdrowotna</v>
      </c>
      <c r="C121" s="3">
        <f>SUM(Tabela933[[#All],[Kolumna2]])</f>
        <v>0</v>
      </c>
      <c r="D121" s="16">
        <f>SUM(Tabela933[[#All],[Kolumna3]])</f>
        <v>0</v>
      </c>
      <c r="E121" s="3">
        <f>C121-D121</f>
        <v>0</v>
      </c>
      <c r="F121" s="17" t="str">
        <f>IFERROR(D121/C121,"")</f>
        <v/>
      </c>
      <c r="G121" s="3"/>
      <c r="I121" s="11" t="s">
        <v>44</v>
      </c>
      <c r="J121" s="11" t="s">
        <v>45</v>
      </c>
      <c r="K121" s="11" t="s">
        <v>46</v>
      </c>
      <c r="L121" s="11" t="s">
        <v>47</v>
      </c>
      <c r="M121" s="11" t="s">
        <v>48</v>
      </c>
      <c r="N121" s="11" t="s">
        <v>49</v>
      </c>
      <c r="O121" s="11" t="s">
        <v>50</v>
      </c>
      <c r="P121" s="11" t="s">
        <v>51</v>
      </c>
      <c r="Q121" s="11" t="s">
        <v>52</v>
      </c>
      <c r="R121" s="11" t="s">
        <v>53</v>
      </c>
      <c r="S121" s="11" t="s">
        <v>54</v>
      </c>
      <c r="T121" s="11" t="s">
        <v>55</v>
      </c>
      <c r="U121" s="11" t="s">
        <v>56</v>
      </c>
      <c r="V121" s="11" t="s">
        <v>57</v>
      </c>
      <c r="W121" s="11" t="s">
        <v>58</v>
      </c>
      <c r="X121" s="11" t="s">
        <v>59</v>
      </c>
      <c r="Y121" s="11" t="s">
        <v>60</v>
      </c>
      <c r="Z121" s="11" t="s">
        <v>61</v>
      </c>
      <c r="AA121" s="11" t="s">
        <v>62</v>
      </c>
      <c r="AB121" s="11" t="s">
        <v>63</v>
      </c>
      <c r="AC121" s="11" t="s">
        <v>64</v>
      </c>
      <c r="AD121" s="11" t="s">
        <v>65</v>
      </c>
      <c r="AE121" s="11" t="s">
        <v>66</v>
      </c>
      <c r="AF121" s="11" t="s">
        <v>67</v>
      </c>
      <c r="AG121" s="11" t="s">
        <v>68</v>
      </c>
      <c r="AH121" s="11" t="s">
        <v>69</v>
      </c>
      <c r="AI121" s="11" t="s">
        <v>70</v>
      </c>
      <c r="AJ121" s="11" t="s">
        <v>71</v>
      </c>
      <c r="AK121" s="11" t="s">
        <v>72</v>
      </c>
      <c r="AL121" s="11" t="s">
        <v>73</v>
      </c>
      <c r="AM121" s="11" t="s">
        <v>74</v>
      </c>
      <c r="AN121" s="25"/>
      <c r="AO121" s="25"/>
    </row>
    <row r="122" spans="2:41" x14ac:dyDescent="0.2">
      <c r="B122" s="22" t="str">
        <f>'Wzorzec kategorii'!B84</f>
        <v>Lekarz</v>
      </c>
      <c r="C122" s="19">
        <v>0</v>
      </c>
      <c r="D122" s="20">
        <f>SUM(Tabela19212547[#This Row])</f>
        <v>0</v>
      </c>
      <c r="E122" s="20">
        <f t="shared" ref="E122:E125" si="19">C122-D122</f>
        <v>0</v>
      </c>
      <c r="F122" s="21" t="str">
        <f>IFERROR(D122/C122,"")</f>
        <v/>
      </c>
      <c r="G122" s="2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25"/>
      <c r="AO122" s="25"/>
    </row>
    <row r="123" spans="2:41" x14ac:dyDescent="0.2">
      <c r="B123" s="22" t="str">
        <f>'Wzorzec kategorii'!B85</f>
        <v>Badania</v>
      </c>
      <c r="C123" s="19">
        <v>0</v>
      </c>
      <c r="D123" s="20">
        <f>SUM(Tabela19212547[#This Row])</f>
        <v>0</v>
      </c>
      <c r="E123" s="20">
        <f t="shared" si="19"/>
        <v>0</v>
      </c>
      <c r="F123" s="21" t="str">
        <f>IFERROR(D123/C123,"")</f>
        <v/>
      </c>
      <c r="G123" s="2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25"/>
      <c r="AO123" s="25"/>
    </row>
    <row r="124" spans="2:41" x14ac:dyDescent="0.2">
      <c r="B124" s="22" t="str">
        <f>'Wzorzec kategorii'!B86</f>
        <v>Lekarstwa</v>
      </c>
      <c r="C124" s="19">
        <v>0</v>
      </c>
      <c r="D124" s="20">
        <f>SUM(Tabela19212547[#This Row])</f>
        <v>0</v>
      </c>
      <c r="E124" s="20">
        <f t="shared" si="19"/>
        <v>0</v>
      </c>
      <c r="F124" s="21" t="str">
        <f>IFERROR(D124/C124,"")</f>
        <v/>
      </c>
      <c r="G124" s="2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25"/>
      <c r="AO124" s="25"/>
    </row>
    <row r="125" spans="2:41" x14ac:dyDescent="0.2">
      <c r="B125" s="22" t="str">
        <f>'Wzorzec kategorii'!B87</f>
        <v>Inne</v>
      </c>
      <c r="C125" s="19">
        <v>0</v>
      </c>
      <c r="D125" s="20">
        <f>SUM(Tabela19212547[#This Row])</f>
        <v>0</v>
      </c>
      <c r="E125" s="20">
        <f t="shared" si="19"/>
        <v>0</v>
      </c>
      <c r="F125" s="21" t="str">
        <f>IFERROR(D125/C125,"")</f>
        <v/>
      </c>
      <c r="G125" s="24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25"/>
      <c r="AO125" s="25"/>
    </row>
    <row r="126" spans="2:41" x14ac:dyDescent="0.2">
      <c r="B126" s="50" t="str">
        <f>'Wzorzec kategorii'!B88</f>
        <v>.</v>
      </c>
      <c r="C126" s="19">
        <v>0</v>
      </c>
      <c r="D126" s="20">
        <f>SUM(Tabela19212547[#This Row])</f>
        <v>0</v>
      </c>
      <c r="E126" s="20">
        <f t="shared" ref="E126:E131" si="20">C126-D126</f>
        <v>0</v>
      </c>
      <c r="F126" s="53" t="str">
        <f t="shared" ref="F126:F131" si="21">IFERROR(D126/C126,"")</f>
        <v/>
      </c>
      <c r="G126" s="54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25"/>
      <c r="AO126" s="25"/>
    </row>
    <row r="127" spans="2:41" x14ac:dyDescent="0.2">
      <c r="B127" s="50" t="str">
        <f>'Wzorzec kategorii'!B89</f>
        <v>.</v>
      </c>
      <c r="C127" s="19">
        <v>0</v>
      </c>
      <c r="D127" s="20">
        <f>SUM(Tabela19212547[#This Row])</f>
        <v>0</v>
      </c>
      <c r="E127" s="20">
        <f t="shared" si="20"/>
        <v>0</v>
      </c>
      <c r="F127" s="53" t="str">
        <f t="shared" si="21"/>
        <v/>
      </c>
      <c r="G127" s="54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25"/>
      <c r="AO127" s="25"/>
    </row>
    <row r="128" spans="2:41" x14ac:dyDescent="0.2">
      <c r="B128" s="50" t="str">
        <f>'Wzorzec kategorii'!B90</f>
        <v>.</v>
      </c>
      <c r="C128" s="19">
        <v>0</v>
      </c>
      <c r="D128" s="20">
        <f>SUM(Tabela19212547[#This Row])</f>
        <v>0</v>
      </c>
      <c r="E128" s="20">
        <f t="shared" si="20"/>
        <v>0</v>
      </c>
      <c r="F128" s="53" t="str">
        <f t="shared" si="21"/>
        <v/>
      </c>
      <c r="G128" s="54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25"/>
      <c r="AO128" s="25"/>
    </row>
    <row r="129" spans="2:41" x14ac:dyDescent="0.2">
      <c r="B129" s="50" t="str">
        <f>'Wzorzec kategorii'!B91</f>
        <v>.</v>
      </c>
      <c r="C129" s="19">
        <v>0</v>
      </c>
      <c r="D129" s="20">
        <f>SUM(Tabela19212547[#This Row])</f>
        <v>0</v>
      </c>
      <c r="E129" s="20">
        <f t="shared" si="20"/>
        <v>0</v>
      </c>
      <c r="F129" s="53" t="str">
        <f t="shared" si="21"/>
        <v/>
      </c>
      <c r="G129" s="54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25"/>
      <c r="AO129" s="25"/>
    </row>
    <row r="130" spans="2:41" x14ac:dyDescent="0.2">
      <c r="B130" s="50" t="str">
        <f>'Wzorzec kategorii'!B92</f>
        <v>.</v>
      </c>
      <c r="C130" s="19">
        <v>0</v>
      </c>
      <c r="D130" s="20">
        <f>SUM(Tabela19212547[#This Row])</f>
        <v>0</v>
      </c>
      <c r="E130" s="20">
        <f t="shared" si="20"/>
        <v>0</v>
      </c>
      <c r="F130" s="53" t="str">
        <f t="shared" si="21"/>
        <v/>
      </c>
      <c r="G130" s="54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25"/>
      <c r="AO130" s="25"/>
    </row>
    <row r="131" spans="2:41" x14ac:dyDescent="0.2">
      <c r="B131" s="50" t="str">
        <f>'Wzorzec kategorii'!B93</f>
        <v>.</v>
      </c>
      <c r="C131" s="19">
        <v>0</v>
      </c>
      <c r="D131" s="20">
        <f>SUM(Tabela19212547[#This Row])</f>
        <v>0</v>
      </c>
      <c r="E131" s="20">
        <f t="shared" si="20"/>
        <v>0</v>
      </c>
      <c r="F131" s="53" t="str">
        <f t="shared" si="21"/>
        <v/>
      </c>
      <c r="G131" s="54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25"/>
      <c r="AO131" s="25"/>
    </row>
    <row r="132" spans="2:41" x14ac:dyDescent="0.2">
      <c r="B132" s="13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</row>
    <row r="133" spans="2:41" x14ac:dyDescent="0.2">
      <c r="B133" s="2" t="str">
        <f>'Wzorzec kategorii'!B95</f>
        <v>Ubranie</v>
      </c>
      <c r="C133" s="3">
        <f>SUM(Tabela1034[[#All],[Kolumna2]])</f>
        <v>0</v>
      </c>
      <c r="D133" s="16">
        <f>SUM(Tabela1034[[#All],[Kolumna3]])</f>
        <v>0</v>
      </c>
      <c r="E133" s="3">
        <f>C133-D133</f>
        <v>0</v>
      </c>
      <c r="F133" s="17" t="str">
        <f t="shared" ref="F133:F138" si="22">IFERROR(D133/C133,"")</f>
        <v/>
      </c>
      <c r="G133" s="3"/>
      <c r="I133" s="11" t="s">
        <v>44</v>
      </c>
      <c r="J133" s="11" t="s">
        <v>45</v>
      </c>
      <c r="K133" s="11" t="s">
        <v>46</v>
      </c>
      <c r="L133" s="11" t="s">
        <v>47</v>
      </c>
      <c r="M133" s="11" t="s">
        <v>48</v>
      </c>
      <c r="N133" s="11" t="s">
        <v>49</v>
      </c>
      <c r="O133" s="11" t="s">
        <v>50</v>
      </c>
      <c r="P133" s="11" t="s">
        <v>51</v>
      </c>
      <c r="Q133" s="11" t="s">
        <v>52</v>
      </c>
      <c r="R133" s="11" t="s">
        <v>53</v>
      </c>
      <c r="S133" s="11" t="s">
        <v>54</v>
      </c>
      <c r="T133" s="11" t="s">
        <v>55</v>
      </c>
      <c r="U133" s="11" t="s">
        <v>56</v>
      </c>
      <c r="V133" s="11" t="s">
        <v>57</v>
      </c>
      <c r="W133" s="11" t="s">
        <v>58</v>
      </c>
      <c r="X133" s="11" t="s">
        <v>59</v>
      </c>
      <c r="Y133" s="11" t="s">
        <v>60</v>
      </c>
      <c r="Z133" s="11" t="s">
        <v>61</v>
      </c>
      <c r="AA133" s="11" t="s">
        <v>62</v>
      </c>
      <c r="AB133" s="11" t="s">
        <v>63</v>
      </c>
      <c r="AC133" s="11" t="s">
        <v>64</v>
      </c>
      <c r="AD133" s="11" t="s">
        <v>65</v>
      </c>
      <c r="AE133" s="11" t="s">
        <v>66</v>
      </c>
      <c r="AF133" s="11" t="s">
        <v>67</v>
      </c>
      <c r="AG133" s="11" t="s">
        <v>68</v>
      </c>
      <c r="AH133" s="11" t="s">
        <v>69</v>
      </c>
      <c r="AI133" s="11" t="s">
        <v>70</v>
      </c>
      <c r="AJ133" s="11" t="s">
        <v>71</v>
      </c>
      <c r="AK133" s="11" t="s">
        <v>72</v>
      </c>
      <c r="AL133" s="11" t="s">
        <v>73</v>
      </c>
      <c r="AM133" s="11" t="s">
        <v>74</v>
      </c>
      <c r="AN133" s="25"/>
      <c r="AO133" s="25"/>
    </row>
    <row r="134" spans="2:41" x14ac:dyDescent="0.2">
      <c r="B134" s="22" t="str">
        <f>'Wzorzec kategorii'!B96</f>
        <v>Ubranie zwykłe</v>
      </c>
      <c r="C134" s="19">
        <v>0</v>
      </c>
      <c r="D134" s="20">
        <f>SUM(Tabela19212446[#This Row])</f>
        <v>0</v>
      </c>
      <c r="E134" s="20">
        <f t="shared" ref="E134:E138" si="23">C134-D134</f>
        <v>0</v>
      </c>
      <c r="F134" s="21" t="str">
        <f t="shared" si="22"/>
        <v/>
      </c>
      <c r="G134" s="2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25"/>
      <c r="AO134" s="25"/>
    </row>
    <row r="135" spans="2:41" x14ac:dyDescent="0.2">
      <c r="B135" s="22" t="str">
        <f>'Wzorzec kategorii'!B97</f>
        <v>Ubranie sportowe</v>
      </c>
      <c r="C135" s="19">
        <v>0</v>
      </c>
      <c r="D135" s="20">
        <f>SUM(Tabela19212446[#This Row])</f>
        <v>0</v>
      </c>
      <c r="E135" s="20">
        <f t="shared" si="23"/>
        <v>0</v>
      </c>
      <c r="F135" s="21" t="str">
        <f t="shared" si="22"/>
        <v/>
      </c>
      <c r="G135" s="24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25"/>
      <c r="AO135" s="25"/>
    </row>
    <row r="136" spans="2:41" x14ac:dyDescent="0.2">
      <c r="B136" s="22" t="str">
        <f>'Wzorzec kategorii'!B98</f>
        <v>Buty</v>
      </c>
      <c r="C136" s="19">
        <v>0</v>
      </c>
      <c r="D136" s="20">
        <f>SUM(Tabela19212446[#This Row])</f>
        <v>0</v>
      </c>
      <c r="E136" s="20">
        <f t="shared" si="23"/>
        <v>0</v>
      </c>
      <c r="F136" s="21" t="str">
        <f t="shared" si="22"/>
        <v/>
      </c>
      <c r="G136" s="24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25"/>
      <c r="AO136" s="25"/>
    </row>
    <row r="137" spans="2:41" x14ac:dyDescent="0.2">
      <c r="B137" s="22" t="str">
        <f>'Wzorzec kategorii'!B99</f>
        <v>Dodatki</v>
      </c>
      <c r="C137" s="19">
        <v>0</v>
      </c>
      <c r="D137" s="20">
        <f>SUM(Tabela19212446[#This Row])</f>
        <v>0</v>
      </c>
      <c r="E137" s="20">
        <f t="shared" si="23"/>
        <v>0</v>
      </c>
      <c r="F137" s="21" t="str">
        <f t="shared" si="22"/>
        <v/>
      </c>
      <c r="G137" s="2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25"/>
      <c r="AO137" s="25"/>
    </row>
    <row r="138" spans="2:41" x14ac:dyDescent="0.2">
      <c r="B138" s="22" t="str">
        <f>'Wzorzec kategorii'!B100</f>
        <v>Inne</v>
      </c>
      <c r="C138" s="19">
        <v>0</v>
      </c>
      <c r="D138" s="20">
        <f>SUM(Tabela19212446[#This Row])</f>
        <v>0</v>
      </c>
      <c r="E138" s="20">
        <f t="shared" si="23"/>
        <v>0</v>
      </c>
      <c r="F138" s="21" t="str">
        <f t="shared" si="22"/>
        <v/>
      </c>
      <c r="G138" s="2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25"/>
      <c r="AO138" s="25"/>
    </row>
    <row r="139" spans="2:41" x14ac:dyDescent="0.2">
      <c r="B139" s="50" t="str">
        <f>'Wzorzec kategorii'!B101</f>
        <v>.</v>
      </c>
      <c r="C139" s="19">
        <v>0</v>
      </c>
      <c r="D139" s="20">
        <f>SUM(Tabela19212446[#This Row])</f>
        <v>0</v>
      </c>
      <c r="E139" s="20">
        <f t="shared" ref="E139:E143" si="24">C139-D139</f>
        <v>0</v>
      </c>
      <c r="F139" s="53" t="str">
        <f t="shared" ref="F139:F143" si="25">IFERROR(D139/C139,"")</f>
        <v/>
      </c>
      <c r="G139" s="54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25"/>
      <c r="AO139" s="25"/>
    </row>
    <row r="140" spans="2:41" x14ac:dyDescent="0.2">
      <c r="B140" s="50" t="str">
        <f>'Wzorzec kategorii'!B102</f>
        <v>.</v>
      </c>
      <c r="C140" s="19">
        <v>0</v>
      </c>
      <c r="D140" s="20">
        <f>SUM(Tabela19212446[#This Row])</f>
        <v>0</v>
      </c>
      <c r="E140" s="20">
        <f t="shared" si="24"/>
        <v>0</v>
      </c>
      <c r="F140" s="53" t="str">
        <f t="shared" si="25"/>
        <v/>
      </c>
      <c r="G140" s="54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25"/>
      <c r="AO140" s="25"/>
    </row>
    <row r="141" spans="2:41" x14ac:dyDescent="0.2">
      <c r="B141" s="50" t="str">
        <f>'Wzorzec kategorii'!B103</f>
        <v>.</v>
      </c>
      <c r="C141" s="19">
        <v>0</v>
      </c>
      <c r="D141" s="20">
        <f>SUM(Tabela19212446[#This Row])</f>
        <v>0</v>
      </c>
      <c r="E141" s="20">
        <f t="shared" si="24"/>
        <v>0</v>
      </c>
      <c r="F141" s="53" t="str">
        <f t="shared" si="25"/>
        <v/>
      </c>
      <c r="G141" s="54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25"/>
      <c r="AO141" s="25"/>
    </row>
    <row r="142" spans="2:41" x14ac:dyDescent="0.2">
      <c r="B142" s="50" t="str">
        <f>'Wzorzec kategorii'!B104</f>
        <v>.</v>
      </c>
      <c r="C142" s="19">
        <v>0</v>
      </c>
      <c r="D142" s="20">
        <f>SUM(Tabela19212446[#This Row])</f>
        <v>0</v>
      </c>
      <c r="E142" s="20">
        <f t="shared" si="24"/>
        <v>0</v>
      </c>
      <c r="F142" s="53" t="str">
        <f t="shared" si="25"/>
        <v/>
      </c>
      <c r="G142" s="54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25"/>
      <c r="AO142" s="25"/>
    </row>
    <row r="143" spans="2:41" x14ac:dyDescent="0.2">
      <c r="B143" s="50" t="str">
        <f>'Wzorzec kategorii'!B105</f>
        <v>.</v>
      </c>
      <c r="C143" s="19">
        <v>0</v>
      </c>
      <c r="D143" s="20">
        <f>SUM(Tabela19212446[#This Row])</f>
        <v>0</v>
      </c>
      <c r="E143" s="20">
        <f t="shared" si="24"/>
        <v>0</v>
      </c>
      <c r="F143" s="53" t="str">
        <f t="shared" si="25"/>
        <v/>
      </c>
      <c r="G143" s="54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25"/>
      <c r="AO143" s="25"/>
    </row>
    <row r="144" spans="2:41" x14ac:dyDescent="0.2">
      <c r="B144" s="5" t="s">
        <v>30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</row>
    <row r="145" spans="2:41" x14ac:dyDescent="0.2">
      <c r="B145" s="2" t="str">
        <f>'Wzorzec kategorii'!B107</f>
        <v>Higiena</v>
      </c>
      <c r="C145" s="3">
        <f>SUM(Tabela1135[[#All],[Kolumna2]])</f>
        <v>0</v>
      </c>
      <c r="D145" s="16">
        <f>SUM(Tabela1135[[#All],[Kolumna3]])</f>
        <v>0</v>
      </c>
      <c r="E145" s="3">
        <f>C145-D145</f>
        <v>0</v>
      </c>
      <c r="F145" s="17" t="str">
        <f t="shared" ref="F145:F150" si="26">IFERROR(D145/C145,"")</f>
        <v/>
      </c>
      <c r="G145" s="3"/>
      <c r="I145" s="11" t="s">
        <v>44</v>
      </c>
      <c r="J145" s="11" t="s">
        <v>45</v>
      </c>
      <c r="K145" s="11" t="s">
        <v>46</v>
      </c>
      <c r="L145" s="11" t="s">
        <v>47</v>
      </c>
      <c r="M145" s="11" t="s">
        <v>48</v>
      </c>
      <c r="N145" s="11" t="s">
        <v>49</v>
      </c>
      <c r="O145" s="11" t="s">
        <v>50</v>
      </c>
      <c r="P145" s="11" t="s">
        <v>51</v>
      </c>
      <c r="Q145" s="11" t="s">
        <v>52</v>
      </c>
      <c r="R145" s="11" t="s">
        <v>53</v>
      </c>
      <c r="S145" s="11" t="s">
        <v>54</v>
      </c>
      <c r="T145" s="11" t="s">
        <v>55</v>
      </c>
      <c r="U145" s="11" t="s">
        <v>56</v>
      </c>
      <c r="V145" s="11" t="s">
        <v>57</v>
      </c>
      <c r="W145" s="11" t="s">
        <v>58</v>
      </c>
      <c r="X145" s="11" t="s">
        <v>59</v>
      </c>
      <c r="Y145" s="11" t="s">
        <v>60</v>
      </c>
      <c r="Z145" s="11" t="s">
        <v>61</v>
      </c>
      <c r="AA145" s="11" t="s">
        <v>62</v>
      </c>
      <c r="AB145" s="11" t="s">
        <v>63</v>
      </c>
      <c r="AC145" s="11" t="s">
        <v>64</v>
      </c>
      <c r="AD145" s="11" t="s">
        <v>65</v>
      </c>
      <c r="AE145" s="11" t="s">
        <v>66</v>
      </c>
      <c r="AF145" s="11" t="s">
        <v>67</v>
      </c>
      <c r="AG145" s="11" t="s">
        <v>68</v>
      </c>
      <c r="AH145" s="11" t="s">
        <v>69</v>
      </c>
      <c r="AI145" s="11" t="s">
        <v>70</v>
      </c>
      <c r="AJ145" s="11" t="s">
        <v>71</v>
      </c>
      <c r="AK145" s="11" t="s">
        <v>72</v>
      </c>
      <c r="AL145" s="11" t="s">
        <v>73</v>
      </c>
      <c r="AM145" s="11" t="s">
        <v>74</v>
      </c>
      <c r="AN145" s="25"/>
      <c r="AO145" s="25"/>
    </row>
    <row r="146" spans="2:41" x14ac:dyDescent="0.2">
      <c r="B146" s="22" t="str">
        <f>'Wzorzec kategorii'!B108</f>
        <v>Kosmetyki</v>
      </c>
      <c r="C146" s="19">
        <v>0</v>
      </c>
      <c r="D146" s="20">
        <f>SUM(Tabela192244[#This Row])</f>
        <v>0</v>
      </c>
      <c r="E146" s="20">
        <f t="shared" ref="E146:E150" si="27">C146-D146</f>
        <v>0</v>
      </c>
      <c r="F146" s="21" t="str">
        <f t="shared" si="26"/>
        <v/>
      </c>
      <c r="G146" s="24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25"/>
      <c r="AO146" s="25"/>
    </row>
    <row r="147" spans="2:41" x14ac:dyDescent="0.2">
      <c r="B147" s="22" t="str">
        <f>'Wzorzec kategorii'!B109</f>
        <v>Środki czystości (chemia)</v>
      </c>
      <c r="C147" s="19">
        <v>0</v>
      </c>
      <c r="D147" s="20">
        <f>SUM(Tabela192244[#This Row])</f>
        <v>0</v>
      </c>
      <c r="E147" s="20">
        <f t="shared" si="27"/>
        <v>0</v>
      </c>
      <c r="F147" s="21" t="str">
        <f t="shared" si="26"/>
        <v/>
      </c>
      <c r="G147" s="2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25"/>
      <c r="AO147" s="25"/>
    </row>
    <row r="148" spans="2:41" x14ac:dyDescent="0.2">
      <c r="B148" s="22" t="str">
        <f>'Wzorzec kategorii'!B110</f>
        <v>Fryzjer</v>
      </c>
      <c r="C148" s="19">
        <v>0</v>
      </c>
      <c r="D148" s="20">
        <f>SUM(Tabela192244[#This Row])</f>
        <v>0</v>
      </c>
      <c r="E148" s="20">
        <f t="shared" si="27"/>
        <v>0</v>
      </c>
      <c r="F148" s="21" t="str">
        <f t="shared" si="26"/>
        <v/>
      </c>
      <c r="G148" s="2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25"/>
      <c r="AO148" s="25"/>
    </row>
    <row r="149" spans="2:41" x14ac:dyDescent="0.2">
      <c r="B149" s="22" t="str">
        <f>'Wzorzec kategorii'!B111</f>
        <v>Kosmetyczka</v>
      </c>
      <c r="C149" s="19">
        <v>0</v>
      </c>
      <c r="D149" s="20">
        <f>SUM(Tabela192244[#This Row])</f>
        <v>0</v>
      </c>
      <c r="E149" s="20">
        <f t="shared" si="27"/>
        <v>0</v>
      </c>
      <c r="F149" s="21" t="str">
        <f t="shared" si="26"/>
        <v/>
      </c>
      <c r="G149" s="2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25"/>
      <c r="AO149" s="25"/>
    </row>
    <row r="150" spans="2:41" x14ac:dyDescent="0.2">
      <c r="B150" s="22" t="str">
        <f>'Wzorzec kategorii'!B112</f>
        <v>Inne</v>
      </c>
      <c r="C150" s="19">
        <v>0</v>
      </c>
      <c r="D150" s="20">
        <f>SUM(Tabela192244[#This Row])</f>
        <v>0</v>
      </c>
      <c r="E150" s="20">
        <f t="shared" si="27"/>
        <v>0</v>
      </c>
      <c r="F150" s="21" t="str">
        <f t="shared" si="26"/>
        <v/>
      </c>
      <c r="G150" s="2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25"/>
      <c r="AO150" s="25"/>
    </row>
    <row r="151" spans="2:41" x14ac:dyDescent="0.2">
      <c r="B151" s="22" t="str">
        <f>'Wzorzec kategorii'!B113</f>
        <v>.</v>
      </c>
      <c r="C151" s="19">
        <v>0</v>
      </c>
      <c r="D151" s="20">
        <f>SUM(Tabela192244[#This Row])</f>
        <v>0</v>
      </c>
      <c r="E151" s="20">
        <f t="shared" ref="E151:E155" si="28">C151-D151</f>
        <v>0</v>
      </c>
      <c r="F151" s="53" t="str">
        <f t="shared" ref="F151:F155" si="29">IFERROR(D151/C151,"")</f>
        <v/>
      </c>
      <c r="G151" s="54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25"/>
      <c r="AO151" s="25"/>
    </row>
    <row r="152" spans="2:41" x14ac:dyDescent="0.2">
      <c r="B152" s="22" t="str">
        <f>'Wzorzec kategorii'!B114</f>
        <v>.</v>
      </c>
      <c r="C152" s="19">
        <v>0</v>
      </c>
      <c r="D152" s="20">
        <f>SUM(Tabela192244[#This Row])</f>
        <v>0</v>
      </c>
      <c r="E152" s="20">
        <f t="shared" si="28"/>
        <v>0</v>
      </c>
      <c r="F152" s="53" t="str">
        <f t="shared" si="29"/>
        <v/>
      </c>
      <c r="G152" s="54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25"/>
      <c r="AO152" s="25"/>
    </row>
    <row r="153" spans="2:41" x14ac:dyDescent="0.2">
      <c r="B153" s="22" t="str">
        <f>'Wzorzec kategorii'!B115</f>
        <v>.</v>
      </c>
      <c r="C153" s="19">
        <v>0</v>
      </c>
      <c r="D153" s="20">
        <f>SUM(Tabela192244[#This Row])</f>
        <v>0</v>
      </c>
      <c r="E153" s="20">
        <f t="shared" si="28"/>
        <v>0</v>
      </c>
      <c r="F153" s="53" t="str">
        <f t="shared" si="29"/>
        <v/>
      </c>
      <c r="G153" s="54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25"/>
      <c r="AO153" s="25"/>
    </row>
    <row r="154" spans="2:41" x14ac:dyDescent="0.2">
      <c r="B154" s="22" t="str">
        <f>'Wzorzec kategorii'!B116</f>
        <v>.</v>
      </c>
      <c r="C154" s="19">
        <v>0</v>
      </c>
      <c r="D154" s="20">
        <f>SUM(Tabela192244[#This Row])</f>
        <v>0</v>
      </c>
      <c r="E154" s="20">
        <f t="shared" si="28"/>
        <v>0</v>
      </c>
      <c r="F154" s="53" t="str">
        <f t="shared" si="29"/>
        <v/>
      </c>
      <c r="G154" s="54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25"/>
      <c r="AO154" s="25"/>
    </row>
    <row r="155" spans="2:41" x14ac:dyDescent="0.2">
      <c r="B155" s="22" t="str">
        <f>'Wzorzec kategorii'!B117</f>
        <v>.</v>
      </c>
      <c r="C155" s="19">
        <v>0</v>
      </c>
      <c r="D155" s="20">
        <f>SUM(Tabela192244[#This Row])</f>
        <v>0</v>
      </c>
      <c r="E155" s="20">
        <f t="shared" si="28"/>
        <v>0</v>
      </c>
      <c r="F155" s="53" t="str">
        <f t="shared" si="29"/>
        <v/>
      </c>
      <c r="G155" s="54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25"/>
      <c r="AO155" s="25"/>
    </row>
    <row r="156" spans="2:41" x14ac:dyDescent="0.2">
      <c r="B156" s="5" t="s">
        <v>30</v>
      </c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</row>
    <row r="157" spans="2:41" x14ac:dyDescent="0.2">
      <c r="B157" s="2" t="str">
        <f>'Wzorzec kategorii'!B119</f>
        <v>Dzieci</v>
      </c>
      <c r="C157" s="3">
        <f>SUM(Tabela1236[[#All],[Kolumna2]])</f>
        <v>0</v>
      </c>
      <c r="D157" s="16">
        <f>SUM(Tabela1236[[#All],[Kolumna3]])</f>
        <v>0</v>
      </c>
      <c r="E157" s="3">
        <f>C157-D157</f>
        <v>0</v>
      </c>
      <c r="F157" s="17" t="str">
        <f>IFERROR(D157/C157,"")</f>
        <v/>
      </c>
      <c r="G157" s="3"/>
      <c r="I157" s="11" t="s">
        <v>44</v>
      </c>
      <c r="J157" s="11" t="s">
        <v>45</v>
      </c>
      <c r="K157" s="11" t="s">
        <v>46</v>
      </c>
      <c r="L157" s="11" t="s">
        <v>47</v>
      </c>
      <c r="M157" s="11" t="s">
        <v>48</v>
      </c>
      <c r="N157" s="11" t="s">
        <v>49</v>
      </c>
      <c r="O157" s="11" t="s">
        <v>50</v>
      </c>
      <c r="P157" s="11" t="s">
        <v>51</v>
      </c>
      <c r="Q157" s="11" t="s">
        <v>52</v>
      </c>
      <c r="R157" s="11" t="s">
        <v>53</v>
      </c>
      <c r="S157" s="11" t="s">
        <v>54</v>
      </c>
      <c r="T157" s="11" t="s">
        <v>55</v>
      </c>
      <c r="U157" s="11" t="s">
        <v>56</v>
      </c>
      <c r="V157" s="11" t="s">
        <v>57</v>
      </c>
      <c r="W157" s="11" t="s">
        <v>58</v>
      </c>
      <c r="X157" s="11" t="s">
        <v>59</v>
      </c>
      <c r="Y157" s="11" t="s">
        <v>60</v>
      </c>
      <c r="Z157" s="11" t="s">
        <v>61</v>
      </c>
      <c r="AA157" s="11" t="s">
        <v>62</v>
      </c>
      <c r="AB157" s="11" t="s">
        <v>63</v>
      </c>
      <c r="AC157" s="11" t="s">
        <v>64</v>
      </c>
      <c r="AD157" s="11" t="s">
        <v>65</v>
      </c>
      <c r="AE157" s="11" t="s">
        <v>66</v>
      </c>
      <c r="AF157" s="11" t="s">
        <v>67</v>
      </c>
      <c r="AG157" s="11" t="s">
        <v>68</v>
      </c>
      <c r="AH157" s="11" t="s">
        <v>69</v>
      </c>
      <c r="AI157" s="11" t="s">
        <v>70</v>
      </c>
      <c r="AJ157" s="11" t="s">
        <v>71</v>
      </c>
      <c r="AK157" s="11" t="s">
        <v>72</v>
      </c>
      <c r="AL157" s="11" t="s">
        <v>73</v>
      </c>
      <c r="AM157" s="11" t="s">
        <v>74</v>
      </c>
      <c r="AN157" s="25"/>
      <c r="AO157" s="25"/>
    </row>
    <row r="158" spans="2:41" x14ac:dyDescent="0.2">
      <c r="B158" s="22" t="str">
        <f>'Wzorzec kategorii'!B120</f>
        <v>Artykuły szkolne</v>
      </c>
      <c r="C158" s="19">
        <v>0</v>
      </c>
      <c r="D158" s="20">
        <f>SUM(Tabela2548[#This Row])</f>
        <v>0</v>
      </c>
      <c r="E158" s="20">
        <f t="shared" ref="E158:E163" si="30">C158-D158</f>
        <v>0</v>
      </c>
      <c r="F158" s="21" t="str">
        <f t="shared" ref="F158:F163" si="31">IFERROR(D158/C158,"")</f>
        <v/>
      </c>
      <c r="G158" s="2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25"/>
      <c r="AO158" s="25"/>
    </row>
    <row r="159" spans="2:41" x14ac:dyDescent="0.2">
      <c r="B159" s="22" t="str">
        <f>'Wzorzec kategorii'!B121</f>
        <v>Dodatkowe zajęcia</v>
      </c>
      <c r="C159" s="19">
        <v>0</v>
      </c>
      <c r="D159" s="20">
        <f>SUM(Tabela2548[#This Row])</f>
        <v>0</v>
      </c>
      <c r="E159" s="20">
        <f t="shared" si="30"/>
        <v>0</v>
      </c>
      <c r="F159" s="21" t="str">
        <f t="shared" si="31"/>
        <v/>
      </c>
      <c r="G159" s="2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25"/>
      <c r="AO159" s="25"/>
    </row>
    <row r="160" spans="2:41" x14ac:dyDescent="0.2">
      <c r="B160" s="22" t="str">
        <f>'Wzorzec kategorii'!B122</f>
        <v>Wpłaty na szkołę itp.</v>
      </c>
      <c r="C160" s="19">
        <v>0</v>
      </c>
      <c r="D160" s="20">
        <f>SUM(Tabela2548[#This Row])</f>
        <v>0</v>
      </c>
      <c r="E160" s="20">
        <f t="shared" si="30"/>
        <v>0</v>
      </c>
      <c r="F160" s="21" t="str">
        <f t="shared" si="31"/>
        <v/>
      </c>
      <c r="G160" s="2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25"/>
      <c r="AO160" s="25"/>
    </row>
    <row r="161" spans="2:41" x14ac:dyDescent="0.2">
      <c r="B161" s="22" t="str">
        <f>'Wzorzec kategorii'!B123</f>
        <v>Zabawki / gry</v>
      </c>
      <c r="C161" s="19">
        <v>0</v>
      </c>
      <c r="D161" s="20">
        <f>SUM(Tabela2548[#This Row])</f>
        <v>0</v>
      </c>
      <c r="E161" s="20">
        <f t="shared" si="30"/>
        <v>0</v>
      </c>
      <c r="F161" s="21" t="str">
        <f t="shared" si="31"/>
        <v/>
      </c>
      <c r="G161" s="2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25"/>
      <c r="AO161" s="25"/>
    </row>
    <row r="162" spans="2:41" x14ac:dyDescent="0.2">
      <c r="B162" s="22" t="str">
        <f>'Wzorzec kategorii'!B124</f>
        <v>Opieka nad dziećmi</v>
      </c>
      <c r="C162" s="19">
        <v>0</v>
      </c>
      <c r="D162" s="20">
        <f>SUM(Tabela2548[#This Row])</f>
        <v>0</v>
      </c>
      <c r="E162" s="20">
        <f t="shared" si="30"/>
        <v>0</v>
      </c>
      <c r="F162" s="21" t="str">
        <f t="shared" si="31"/>
        <v/>
      </c>
      <c r="G162" s="2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25"/>
      <c r="AO162" s="25"/>
    </row>
    <row r="163" spans="2:41" x14ac:dyDescent="0.2">
      <c r="B163" s="22" t="str">
        <f>'Wzorzec kategorii'!B125</f>
        <v>Inne</v>
      </c>
      <c r="C163" s="19">
        <v>0</v>
      </c>
      <c r="D163" s="20">
        <f>SUM(Tabela2548[#This Row])</f>
        <v>0</v>
      </c>
      <c r="E163" s="20">
        <f t="shared" si="30"/>
        <v>0</v>
      </c>
      <c r="F163" s="21" t="str">
        <f t="shared" si="31"/>
        <v/>
      </c>
      <c r="G163" s="24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25"/>
      <c r="AO163" s="25"/>
    </row>
    <row r="164" spans="2:41" x14ac:dyDescent="0.2">
      <c r="B164" s="51" t="str">
        <f>'Wzorzec kategorii'!B126</f>
        <v>.</v>
      </c>
      <c r="C164" s="19">
        <v>0</v>
      </c>
      <c r="D164" s="20">
        <f>SUM(Tabela2548[#This Row])</f>
        <v>0</v>
      </c>
      <c r="E164" s="20">
        <f t="shared" ref="E164:E167" si="32">C164-D164</f>
        <v>0</v>
      </c>
      <c r="F164" s="53" t="str">
        <f t="shared" ref="F164:F167" si="33">IFERROR(D164/C164,"")</f>
        <v/>
      </c>
      <c r="G164" s="24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25"/>
      <c r="AO164" s="25"/>
    </row>
    <row r="165" spans="2:41" x14ac:dyDescent="0.2">
      <c r="B165" s="51" t="str">
        <f>'Wzorzec kategorii'!B127</f>
        <v>.</v>
      </c>
      <c r="C165" s="19">
        <v>0</v>
      </c>
      <c r="D165" s="20">
        <f>SUM(Tabela2548[#This Row])</f>
        <v>0</v>
      </c>
      <c r="E165" s="20">
        <f t="shared" si="32"/>
        <v>0</v>
      </c>
      <c r="F165" s="53" t="str">
        <f t="shared" si="33"/>
        <v/>
      </c>
      <c r="G165" s="24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25"/>
      <c r="AO165" s="25"/>
    </row>
    <row r="166" spans="2:41" x14ac:dyDescent="0.2">
      <c r="B166" s="51" t="str">
        <f>'Wzorzec kategorii'!B128</f>
        <v>.</v>
      </c>
      <c r="C166" s="19">
        <v>0</v>
      </c>
      <c r="D166" s="20">
        <f>SUM(Tabela2548[#This Row])</f>
        <v>0</v>
      </c>
      <c r="E166" s="20">
        <f t="shared" si="32"/>
        <v>0</v>
      </c>
      <c r="F166" s="53" t="str">
        <f t="shared" si="33"/>
        <v/>
      </c>
      <c r="G166" s="24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25"/>
      <c r="AO166" s="25"/>
    </row>
    <row r="167" spans="2:41" x14ac:dyDescent="0.2">
      <c r="B167" s="51" t="str">
        <f>'Wzorzec kategorii'!B129</f>
        <v>.</v>
      </c>
      <c r="C167" s="19">
        <v>0</v>
      </c>
      <c r="D167" s="20">
        <f>SUM(Tabela2548[#This Row])</f>
        <v>0</v>
      </c>
      <c r="E167" s="20">
        <f t="shared" si="32"/>
        <v>0</v>
      </c>
      <c r="F167" s="53" t="str">
        <f t="shared" si="33"/>
        <v/>
      </c>
      <c r="G167" s="24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25"/>
      <c r="AO167" s="25"/>
    </row>
    <row r="168" spans="2:41" x14ac:dyDescent="0.2">
      <c r="B168" s="5" t="s">
        <v>30</v>
      </c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</row>
    <row r="169" spans="2:41" x14ac:dyDescent="0.2">
      <c r="B169" s="2" t="str">
        <f>'Wzorzec kategorii'!B131</f>
        <v>Rozrywka</v>
      </c>
      <c r="C169" s="3">
        <f>SUM(Tabela1337[[#All],[Kolumna2]])</f>
        <v>0</v>
      </c>
      <c r="D169" s="16">
        <f>SUM(Tabela1337[[#All],[Kolumna3]])</f>
        <v>0</v>
      </c>
      <c r="E169" s="3">
        <f>C169-D169</f>
        <v>0</v>
      </c>
      <c r="F169" s="17" t="str">
        <f>IFERROR(D169/C169,"")</f>
        <v/>
      </c>
      <c r="G169" s="3"/>
      <c r="I169" s="11" t="s">
        <v>44</v>
      </c>
      <c r="J169" s="11" t="s">
        <v>45</v>
      </c>
      <c r="K169" s="11" t="s">
        <v>46</v>
      </c>
      <c r="L169" s="11" t="s">
        <v>47</v>
      </c>
      <c r="M169" s="11" t="s">
        <v>48</v>
      </c>
      <c r="N169" s="11" t="s">
        <v>49</v>
      </c>
      <c r="O169" s="11" t="s">
        <v>50</v>
      </c>
      <c r="P169" s="11" t="s">
        <v>51</v>
      </c>
      <c r="Q169" s="11" t="s">
        <v>52</v>
      </c>
      <c r="R169" s="11" t="s">
        <v>53</v>
      </c>
      <c r="S169" s="11" t="s">
        <v>54</v>
      </c>
      <c r="T169" s="11" t="s">
        <v>55</v>
      </c>
      <c r="U169" s="11" t="s">
        <v>56</v>
      </c>
      <c r="V169" s="11" t="s">
        <v>57</v>
      </c>
      <c r="W169" s="11" t="s">
        <v>58</v>
      </c>
      <c r="X169" s="11" t="s">
        <v>59</v>
      </c>
      <c r="Y169" s="11" t="s">
        <v>60</v>
      </c>
      <c r="Z169" s="11" t="s">
        <v>61</v>
      </c>
      <c r="AA169" s="11" t="s">
        <v>62</v>
      </c>
      <c r="AB169" s="11" t="s">
        <v>63</v>
      </c>
      <c r="AC169" s="11" t="s">
        <v>64</v>
      </c>
      <c r="AD169" s="11" t="s">
        <v>65</v>
      </c>
      <c r="AE169" s="11" t="s">
        <v>66</v>
      </c>
      <c r="AF169" s="11" t="s">
        <v>67</v>
      </c>
      <c r="AG169" s="11" t="s">
        <v>68</v>
      </c>
      <c r="AH169" s="11" t="s">
        <v>69</v>
      </c>
      <c r="AI169" s="11" t="s">
        <v>70</v>
      </c>
      <c r="AJ169" s="11" t="s">
        <v>71</v>
      </c>
      <c r="AK169" s="11" t="s">
        <v>72</v>
      </c>
      <c r="AL169" s="11" t="s">
        <v>73</v>
      </c>
      <c r="AM169" s="11" t="s">
        <v>74</v>
      </c>
      <c r="AN169" s="25"/>
      <c r="AO169" s="25"/>
    </row>
    <row r="170" spans="2:41" x14ac:dyDescent="0.2">
      <c r="B170" s="22" t="str">
        <f>'Wzorzec kategorii'!B132</f>
        <v>Siłownia / Basen</v>
      </c>
      <c r="C170" s="19">
        <v>0</v>
      </c>
      <c r="D170" s="20">
        <f>SUM(Tabela2649[#This Row])</f>
        <v>0</v>
      </c>
      <c r="E170" s="20">
        <f t="shared" ref="E170:E177" si="34">C170-D170</f>
        <v>0</v>
      </c>
      <c r="F170" s="21" t="str">
        <f t="shared" ref="F170:F177" si="35">IFERROR(D170/C170,"")</f>
        <v/>
      </c>
      <c r="G170" s="24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25"/>
      <c r="AO170" s="25"/>
    </row>
    <row r="171" spans="2:41" x14ac:dyDescent="0.2">
      <c r="B171" s="22" t="str">
        <f>'Wzorzec kategorii'!B133</f>
        <v>Kino / Teatr</v>
      </c>
      <c r="C171" s="19">
        <v>0</v>
      </c>
      <c r="D171" s="20">
        <f>SUM(Tabela2649[#This Row])</f>
        <v>0</v>
      </c>
      <c r="E171" s="20">
        <f t="shared" si="34"/>
        <v>0</v>
      </c>
      <c r="F171" s="21" t="str">
        <f t="shared" si="35"/>
        <v/>
      </c>
      <c r="G171" s="24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25"/>
      <c r="AO171" s="25"/>
    </row>
    <row r="172" spans="2:41" x14ac:dyDescent="0.2">
      <c r="B172" s="22" t="str">
        <f>'Wzorzec kategorii'!B134</f>
        <v>Koncerty</v>
      </c>
      <c r="C172" s="19">
        <v>0</v>
      </c>
      <c r="D172" s="20">
        <f>SUM(Tabela2649[#This Row])</f>
        <v>0</v>
      </c>
      <c r="E172" s="20">
        <f t="shared" si="34"/>
        <v>0</v>
      </c>
      <c r="F172" s="21" t="str">
        <f t="shared" si="35"/>
        <v/>
      </c>
      <c r="G172" s="24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25"/>
      <c r="AO172" s="25"/>
    </row>
    <row r="173" spans="2:41" x14ac:dyDescent="0.2">
      <c r="B173" s="22" t="str">
        <f>'Wzorzec kategorii'!B135</f>
        <v>Czasopisma</v>
      </c>
      <c r="C173" s="19">
        <v>0</v>
      </c>
      <c r="D173" s="20">
        <f>SUM(Tabela2649[#This Row])</f>
        <v>0</v>
      </c>
      <c r="E173" s="20">
        <f t="shared" si="34"/>
        <v>0</v>
      </c>
      <c r="F173" s="21" t="str">
        <f t="shared" si="35"/>
        <v/>
      </c>
      <c r="G173" s="24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25"/>
      <c r="AO173" s="25"/>
    </row>
    <row r="174" spans="2:41" x14ac:dyDescent="0.2">
      <c r="B174" s="22" t="str">
        <f>'Wzorzec kategorii'!B136</f>
        <v>Książki</v>
      </c>
      <c r="C174" s="19">
        <v>0</v>
      </c>
      <c r="D174" s="20">
        <f>SUM(Tabela2649[#This Row])</f>
        <v>0</v>
      </c>
      <c r="E174" s="20">
        <f t="shared" si="34"/>
        <v>0</v>
      </c>
      <c r="F174" s="21" t="str">
        <f t="shared" si="35"/>
        <v/>
      </c>
      <c r="G174" s="24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25"/>
      <c r="AO174" s="25"/>
    </row>
    <row r="175" spans="2:41" x14ac:dyDescent="0.2">
      <c r="B175" s="22" t="str">
        <f>'Wzorzec kategorii'!B137</f>
        <v>Hobby</v>
      </c>
      <c r="C175" s="19">
        <v>0</v>
      </c>
      <c r="D175" s="20">
        <f>SUM(Tabela2649[#This Row])</f>
        <v>0</v>
      </c>
      <c r="E175" s="20">
        <f t="shared" si="34"/>
        <v>0</v>
      </c>
      <c r="F175" s="21" t="str">
        <f t="shared" si="35"/>
        <v/>
      </c>
      <c r="G175" s="24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25"/>
      <c r="AO175" s="25"/>
    </row>
    <row r="176" spans="2:41" x14ac:dyDescent="0.2">
      <c r="B176" s="22" t="str">
        <f>'Wzorzec kategorii'!B138</f>
        <v>Hotel / Turystyka</v>
      </c>
      <c r="C176" s="19">
        <v>0</v>
      </c>
      <c r="D176" s="20">
        <f>SUM(Tabela2649[#This Row])</f>
        <v>0</v>
      </c>
      <c r="E176" s="20">
        <f t="shared" si="34"/>
        <v>0</v>
      </c>
      <c r="F176" s="21" t="str">
        <f t="shared" si="35"/>
        <v/>
      </c>
      <c r="G176" s="24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25"/>
      <c r="AO176" s="25"/>
    </row>
    <row r="177" spans="2:41" x14ac:dyDescent="0.2">
      <c r="B177" s="22" t="str">
        <f>'Wzorzec kategorii'!B139</f>
        <v>Inne</v>
      </c>
      <c r="C177" s="19">
        <v>0</v>
      </c>
      <c r="D177" s="20">
        <f>SUM(Tabela2649[#This Row])</f>
        <v>0</v>
      </c>
      <c r="E177" s="20">
        <f t="shared" si="34"/>
        <v>0</v>
      </c>
      <c r="F177" s="21" t="str">
        <f t="shared" si="35"/>
        <v/>
      </c>
      <c r="G177" s="24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25"/>
      <c r="AO177" s="25"/>
    </row>
    <row r="178" spans="2:41" x14ac:dyDescent="0.2">
      <c r="B178" s="22" t="str">
        <f>'Wzorzec kategorii'!B140</f>
        <v>.</v>
      </c>
      <c r="C178" s="19">
        <v>0</v>
      </c>
      <c r="D178" s="20">
        <f>SUM(Tabela2649[#This Row])</f>
        <v>0</v>
      </c>
      <c r="E178" s="20">
        <f t="shared" ref="E178:E179" si="36">C178-D178</f>
        <v>0</v>
      </c>
      <c r="F178" s="53" t="str">
        <f t="shared" ref="F178:F179" si="37">IFERROR(D178/C178,"")</f>
        <v/>
      </c>
      <c r="G178" s="54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25"/>
      <c r="AO178" s="25"/>
    </row>
    <row r="179" spans="2:41" x14ac:dyDescent="0.2">
      <c r="B179" s="22" t="str">
        <f>'Wzorzec kategorii'!B141</f>
        <v>.</v>
      </c>
      <c r="C179" s="19">
        <v>0</v>
      </c>
      <c r="D179" s="20">
        <f>SUM(Tabela2649[#This Row])</f>
        <v>0</v>
      </c>
      <c r="E179" s="20">
        <f t="shared" si="36"/>
        <v>0</v>
      </c>
      <c r="F179" s="53" t="str">
        <f t="shared" si="37"/>
        <v/>
      </c>
      <c r="G179" s="54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25"/>
      <c r="AO179" s="25"/>
    </row>
    <row r="180" spans="2:41" x14ac:dyDescent="0.2">
      <c r="B180" s="5" t="s">
        <v>30</v>
      </c>
      <c r="AN180" s="25"/>
      <c r="AO180" s="25"/>
    </row>
    <row r="181" spans="2:41" x14ac:dyDescent="0.2">
      <c r="B181" s="2" t="str">
        <f>'Wzorzec kategorii'!B143</f>
        <v>Inne wydatki</v>
      </c>
      <c r="C181" s="3">
        <f>SUM(Tabela1438[[#All],[Kolumna2]])</f>
        <v>0</v>
      </c>
      <c r="D181" s="16">
        <f>SUM(Tabela1438[[#All],[Kolumna3]])</f>
        <v>0</v>
      </c>
      <c r="E181" s="3">
        <f>C181-D181</f>
        <v>0</v>
      </c>
      <c r="F181" s="17" t="str">
        <f>IFERROR(D181/C181,"")</f>
        <v/>
      </c>
      <c r="G181" s="3"/>
      <c r="I181" s="11" t="s">
        <v>44</v>
      </c>
      <c r="J181" s="11" t="s">
        <v>45</v>
      </c>
      <c r="K181" s="11" t="s">
        <v>46</v>
      </c>
      <c r="L181" s="11" t="s">
        <v>47</v>
      </c>
      <c r="M181" s="11" t="s">
        <v>48</v>
      </c>
      <c r="N181" s="11" t="s">
        <v>49</v>
      </c>
      <c r="O181" s="11" t="s">
        <v>50</v>
      </c>
      <c r="P181" s="11" t="s">
        <v>51</v>
      </c>
      <c r="Q181" s="11" t="s">
        <v>52</v>
      </c>
      <c r="R181" s="11" t="s">
        <v>53</v>
      </c>
      <c r="S181" s="11" t="s">
        <v>54</v>
      </c>
      <c r="T181" s="11" t="s">
        <v>55</v>
      </c>
      <c r="U181" s="11" t="s">
        <v>56</v>
      </c>
      <c r="V181" s="11" t="s">
        <v>57</v>
      </c>
      <c r="W181" s="11" t="s">
        <v>58</v>
      </c>
      <c r="X181" s="11" t="s">
        <v>59</v>
      </c>
      <c r="Y181" s="11" t="s">
        <v>60</v>
      </c>
      <c r="Z181" s="11" t="s">
        <v>61</v>
      </c>
      <c r="AA181" s="11" t="s">
        <v>62</v>
      </c>
      <c r="AB181" s="11" t="s">
        <v>63</v>
      </c>
      <c r="AC181" s="11" t="s">
        <v>64</v>
      </c>
      <c r="AD181" s="11" t="s">
        <v>65</v>
      </c>
      <c r="AE181" s="11" t="s">
        <v>66</v>
      </c>
      <c r="AF181" s="11" t="s">
        <v>67</v>
      </c>
      <c r="AG181" s="11" t="s">
        <v>68</v>
      </c>
      <c r="AH181" s="11" t="s">
        <v>69</v>
      </c>
      <c r="AI181" s="11" t="s">
        <v>70</v>
      </c>
      <c r="AJ181" s="11" t="s">
        <v>71</v>
      </c>
      <c r="AK181" s="11" t="s">
        <v>72</v>
      </c>
      <c r="AL181" s="11" t="s">
        <v>73</v>
      </c>
      <c r="AM181" s="11" t="s">
        <v>74</v>
      </c>
      <c r="AN181" s="25"/>
      <c r="AO181" s="25"/>
    </row>
    <row r="182" spans="2:41" x14ac:dyDescent="0.2">
      <c r="B182" s="22" t="str">
        <f>'Wzorzec kategorii'!B144</f>
        <v>Dobroczynność</v>
      </c>
      <c r="C182" s="19">
        <v>0</v>
      </c>
      <c r="D182" s="20">
        <f>SUM(Tabela2750[#This Row])</f>
        <v>0</v>
      </c>
      <c r="E182" s="20">
        <f t="shared" ref="E182:E189" si="38">C182-D182</f>
        <v>0</v>
      </c>
      <c r="F182" s="21" t="str">
        <f t="shared" ref="F182:F189" si="39">IFERROR(D182/C182,"")</f>
        <v/>
      </c>
      <c r="G182" s="24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25"/>
      <c r="AO182" s="25"/>
    </row>
    <row r="183" spans="2:41" x14ac:dyDescent="0.2">
      <c r="B183" s="22" t="str">
        <f>'Wzorzec kategorii'!B145</f>
        <v>Prezenty</v>
      </c>
      <c r="C183" s="19">
        <v>0</v>
      </c>
      <c r="D183" s="20">
        <f>SUM(Tabela2750[#This Row])</f>
        <v>0</v>
      </c>
      <c r="E183" s="20">
        <f t="shared" si="38"/>
        <v>0</v>
      </c>
      <c r="F183" s="21" t="str">
        <f t="shared" si="39"/>
        <v/>
      </c>
      <c r="G183" s="24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25"/>
      <c r="AO183" s="25"/>
    </row>
    <row r="184" spans="2:41" x14ac:dyDescent="0.2">
      <c r="B184" s="22" t="str">
        <f>'Wzorzec kategorii'!B146</f>
        <v>Sprzęt RTV</v>
      </c>
      <c r="C184" s="19">
        <v>0</v>
      </c>
      <c r="D184" s="20">
        <f>SUM(Tabela2750[#This Row])</f>
        <v>0</v>
      </c>
      <c r="E184" s="20">
        <f t="shared" si="38"/>
        <v>0</v>
      </c>
      <c r="F184" s="21" t="str">
        <f t="shared" si="39"/>
        <v/>
      </c>
      <c r="G184" s="24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25"/>
      <c r="AO184" s="25"/>
    </row>
    <row r="185" spans="2:41" x14ac:dyDescent="0.2">
      <c r="B185" s="22" t="str">
        <f>'Wzorzec kategorii'!B147</f>
        <v>Oprogramowanie</v>
      </c>
      <c r="C185" s="19">
        <v>0</v>
      </c>
      <c r="D185" s="20">
        <f>SUM(Tabela2750[#This Row])</f>
        <v>0</v>
      </c>
      <c r="E185" s="20">
        <f t="shared" si="38"/>
        <v>0</v>
      </c>
      <c r="F185" s="21" t="str">
        <f t="shared" si="39"/>
        <v/>
      </c>
      <c r="G185" s="24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25"/>
      <c r="AO185" s="25"/>
    </row>
    <row r="186" spans="2:41" x14ac:dyDescent="0.2">
      <c r="B186" s="22" t="str">
        <f>'Wzorzec kategorii'!B148</f>
        <v>Edukacja / Szkolenia</v>
      </c>
      <c r="C186" s="19">
        <v>0</v>
      </c>
      <c r="D186" s="20">
        <f>SUM(Tabela2750[#This Row])</f>
        <v>0</v>
      </c>
      <c r="E186" s="20">
        <f t="shared" si="38"/>
        <v>0</v>
      </c>
      <c r="F186" s="21" t="str">
        <f t="shared" si="39"/>
        <v/>
      </c>
      <c r="G186" s="24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25"/>
      <c r="AO186" s="25"/>
    </row>
    <row r="187" spans="2:41" x14ac:dyDescent="0.2">
      <c r="B187" s="22" t="str">
        <f>'Wzorzec kategorii'!B149</f>
        <v>Usługi inne</v>
      </c>
      <c r="C187" s="19">
        <v>0</v>
      </c>
      <c r="D187" s="20">
        <f>SUM(Tabela2750[#This Row])</f>
        <v>0</v>
      </c>
      <c r="E187" s="20">
        <f t="shared" si="38"/>
        <v>0</v>
      </c>
      <c r="F187" s="21" t="str">
        <f t="shared" si="39"/>
        <v/>
      </c>
      <c r="G187" s="24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25"/>
      <c r="AO187" s="25"/>
    </row>
    <row r="188" spans="2:41" x14ac:dyDescent="0.2">
      <c r="B188" s="22" t="str">
        <f>'Wzorzec kategorii'!B150</f>
        <v>Podatki</v>
      </c>
      <c r="C188" s="19">
        <v>0</v>
      </c>
      <c r="D188" s="20">
        <f>SUM(Tabela2750[#This Row])</f>
        <v>0</v>
      </c>
      <c r="E188" s="20">
        <f t="shared" si="38"/>
        <v>0</v>
      </c>
      <c r="F188" s="21" t="str">
        <f t="shared" si="39"/>
        <v/>
      </c>
      <c r="G188" s="24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25"/>
      <c r="AO188" s="25"/>
    </row>
    <row r="189" spans="2:41" x14ac:dyDescent="0.2">
      <c r="B189" s="22" t="str">
        <f>'Wzorzec kategorii'!B151</f>
        <v>Inne</v>
      </c>
      <c r="C189" s="19">
        <v>0</v>
      </c>
      <c r="D189" s="20">
        <f>SUM(Tabela2750[#This Row])</f>
        <v>0</v>
      </c>
      <c r="E189" s="20">
        <f t="shared" si="38"/>
        <v>0</v>
      </c>
      <c r="F189" s="21" t="str">
        <f t="shared" si="39"/>
        <v/>
      </c>
      <c r="G189" s="24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25"/>
      <c r="AO189" s="25"/>
    </row>
    <row r="190" spans="2:41" x14ac:dyDescent="0.2">
      <c r="B190" s="22" t="str">
        <f>'Wzorzec kategorii'!B152</f>
        <v>.</v>
      </c>
      <c r="C190" s="19">
        <v>0</v>
      </c>
      <c r="D190" s="20">
        <f>SUM(Tabela2750[#This Row])</f>
        <v>0</v>
      </c>
      <c r="E190" s="20">
        <f t="shared" ref="E190:E191" si="40">C190-D190</f>
        <v>0</v>
      </c>
      <c r="F190" s="53" t="str">
        <f t="shared" ref="F190:F191" si="41">IFERROR(D190/C190,"")</f>
        <v/>
      </c>
      <c r="G190" s="54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25"/>
      <c r="AO190" s="25"/>
    </row>
    <row r="191" spans="2:41" x14ac:dyDescent="0.2">
      <c r="B191" s="22" t="str">
        <f>'Wzorzec kategorii'!B153</f>
        <v>.</v>
      </c>
      <c r="C191" s="19">
        <v>0</v>
      </c>
      <c r="D191" s="20">
        <f>SUM(Tabela2750[#This Row])</f>
        <v>0</v>
      </c>
      <c r="E191" s="20">
        <f t="shared" si="40"/>
        <v>0</v>
      </c>
      <c r="F191" s="53" t="str">
        <f t="shared" si="41"/>
        <v/>
      </c>
      <c r="G191" s="54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25"/>
      <c r="AO191" s="25"/>
    </row>
    <row r="192" spans="2:41" x14ac:dyDescent="0.2">
      <c r="B192" s="5" t="s">
        <v>30</v>
      </c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</row>
    <row r="193" spans="2:41" x14ac:dyDescent="0.2">
      <c r="B193" s="2" t="str">
        <f>'Wzorzec kategorii'!B155</f>
        <v>Spłata długów</v>
      </c>
      <c r="C193" s="3">
        <f>SUM(Tabela1539[[#All],[Kolumna2]])</f>
        <v>0</v>
      </c>
      <c r="D193" s="16">
        <f>SUM(Tabela1539[[#All],[Kolumna3]])</f>
        <v>0</v>
      </c>
      <c r="E193" s="3">
        <f>C193-D193</f>
        <v>0</v>
      </c>
      <c r="F193" s="17" t="str">
        <f>IFERROR(D193/C193,"")</f>
        <v/>
      </c>
      <c r="G193" s="3"/>
      <c r="I193" s="11" t="s">
        <v>44</v>
      </c>
      <c r="J193" s="11" t="s">
        <v>45</v>
      </c>
      <c r="K193" s="11" t="s">
        <v>46</v>
      </c>
      <c r="L193" s="11" t="s">
        <v>47</v>
      </c>
      <c r="M193" s="11" t="s">
        <v>48</v>
      </c>
      <c r="N193" s="11" t="s">
        <v>49</v>
      </c>
      <c r="O193" s="11" t="s">
        <v>50</v>
      </c>
      <c r="P193" s="11" t="s">
        <v>51</v>
      </c>
      <c r="Q193" s="11" t="s">
        <v>52</v>
      </c>
      <c r="R193" s="11" t="s">
        <v>53</v>
      </c>
      <c r="S193" s="11" t="s">
        <v>54</v>
      </c>
      <c r="T193" s="11" t="s">
        <v>55</v>
      </c>
      <c r="U193" s="11" t="s">
        <v>56</v>
      </c>
      <c r="V193" s="11" t="s">
        <v>57</v>
      </c>
      <c r="W193" s="11" t="s">
        <v>58</v>
      </c>
      <c r="X193" s="11" t="s">
        <v>59</v>
      </c>
      <c r="Y193" s="11" t="s">
        <v>60</v>
      </c>
      <c r="Z193" s="11" t="s">
        <v>61</v>
      </c>
      <c r="AA193" s="11" t="s">
        <v>62</v>
      </c>
      <c r="AB193" s="11" t="s">
        <v>63</v>
      </c>
      <c r="AC193" s="11" t="s">
        <v>64</v>
      </c>
      <c r="AD193" s="11" t="s">
        <v>65</v>
      </c>
      <c r="AE193" s="11" t="s">
        <v>66</v>
      </c>
      <c r="AF193" s="11" t="s">
        <v>67</v>
      </c>
      <c r="AG193" s="11" t="s">
        <v>68</v>
      </c>
      <c r="AH193" s="11" t="s">
        <v>69</v>
      </c>
      <c r="AI193" s="11" t="s">
        <v>70</v>
      </c>
      <c r="AJ193" s="11" t="s">
        <v>71</v>
      </c>
      <c r="AK193" s="11" t="s">
        <v>72</v>
      </c>
      <c r="AL193" s="11" t="s">
        <v>73</v>
      </c>
      <c r="AM193" s="11" t="s">
        <v>74</v>
      </c>
      <c r="AN193" s="25"/>
      <c r="AO193" s="25"/>
    </row>
    <row r="194" spans="2:41" x14ac:dyDescent="0.2">
      <c r="B194" s="22" t="str">
        <f>'Wzorzec kategorii'!B156</f>
        <v>Kredyt hipoteczny</v>
      </c>
      <c r="C194" s="19">
        <v>0</v>
      </c>
      <c r="D194" s="20">
        <f>SUM(Tabela2851[#This Row])</f>
        <v>0</v>
      </c>
      <c r="E194" s="20">
        <f t="shared" ref="E194:E199" si="42">C194-D194</f>
        <v>0</v>
      </c>
      <c r="F194" s="21" t="str">
        <f t="shared" ref="F194:F199" si="43">IFERROR(D194/C194,"")</f>
        <v/>
      </c>
      <c r="G194" s="24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25"/>
      <c r="AO194" s="25"/>
    </row>
    <row r="195" spans="2:41" x14ac:dyDescent="0.2">
      <c r="B195" s="22" t="str">
        <f>'Wzorzec kategorii'!B157</f>
        <v>Kredyt konsumpcyjny</v>
      </c>
      <c r="C195" s="19">
        <v>0</v>
      </c>
      <c r="D195" s="20">
        <f>SUM(Tabela2851[#This Row])</f>
        <v>0</v>
      </c>
      <c r="E195" s="20">
        <f t="shared" si="42"/>
        <v>0</v>
      </c>
      <c r="F195" s="21" t="str">
        <f t="shared" si="43"/>
        <v/>
      </c>
      <c r="G195" s="24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25"/>
      <c r="AO195" s="25"/>
    </row>
    <row r="196" spans="2:41" x14ac:dyDescent="0.2">
      <c r="B196" s="22" t="str">
        <f>'Wzorzec kategorii'!B158</f>
        <v>Pożyczka osobista</v>
      </c>
      <c r="C196" s="19">
        <v>0</v>
      </c>
      <c r="D196" s="20">
        <f>SUM(Tabela2851[#This Row])</f>
        <v>0</v>
      </c>
      <c r="E196" s="20">
        <f t="shared" si="42"/>
        <v>0</v>
      </c>
      <c r="F196" s="21" t="str">
        <f t="shared" si="43"/>
        <v/>
      </c>
      <c r="G196" s="24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25"/>
      <c r="AO196" s="25"/>
    </row>
    <row r="197" spans="2:41" x14ac:dyDescent="0.2">
      <c r="B197" s="22" t="str">
        <f>'Wzorzec kategorii'!B159</f>
        <v>Inne</v>
      </c>
      <c r="C197" s="19">
        <v>0</v>
      </c>
      <c r="D197" s="20">
        <f>SUM(Tabela2851[#This Row])</f>
        <v>0</v>
      </c>
      <c r="E197" s="20">
        <f t="shared" si="42"/>
        <v>0</v>
      </c>
      <c r="F197" s="21" t="str">
        <f t="shared" si="43"/>
        <v/>
      </c>
      <c r="G197" s="24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25"/>
      <c r="AO197" s="25"/>
    </row>
    <row r="198" spans="2:41" x14ac:dyDescent="0.2">
      <c r="B198" s="22" t="str">
        <f>'Wzorzec kategorii'!B160</f>
        <v>.</v>
      </c>
      <c r="C198" s="19">
        <v>0</v>
      </c>
      <c r="D198" s="20">
        <f>SUM(Tabela2851[#This Row])</f>
        <v>0</v>
      </c>
      <c r="E198" s="20">
        <f t="shared" si="42"/>
        <v>0</v>
      </c>
      <c r="F198" s="21" t="str">
        <f t="shared" si="43"/>
        <v/>
      </c>
      <c r="G198" s="24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25"/>
      <c r="AO198" s="25"/>
    </row>
    <row r="199" spans="2:41" x14ac:dyDescent="0.2">
      <c r="B199" s="22" t="str">
        <f>'Wzorzec kategorii'!B161</f>
        <v>.</v>
      </c>
      <c r="C199" s="19">
        <v>0</v>
      </c>
      <c r="D199" s="20">
        <f>SUM(Tabela2851[#This Row])</f>
        <v>0</v>
      </c>
      <c r="E199" s="20">
        <f t="shared" si="42"/>
        <v>0</v>
      </c>
      <c r="F199" s="21" t="str">
        <f t="shared" si="43"/>
        <v/>
      </c>
      <c r="G199" s="24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25"/>
      <c r="AO199" s="25"/>
    </row>
    <row r="200" spans="2:41" x14ac:dyDescent="0.2">
      <c r="B200" s="22" t="str">
        <f>'Wzorzec kategorii'!B162</f>
        <v>.</v>
      </c>
      <c r="C200" s="19">
        <v>0</v>
      </c>
      <c r="D200" s="20">
        <f>SUM(Tabela2851[#This Row])</f>
        <v>0</v>
      </c>
      <c r="E200" s="20">
        <f t="shared" ref="E200:E203" si="44">C200-D200</f>
        <v>0</v>
      </c>
      <c r="F200" s="53" t="str">
        <f t="shared" ref="F200:F203" si="45">IFERROR(D200/C200,"")</f>
        <v/>
      </c>
      <c r="G200" s="54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25"/>
      <c r="AO200" s="25"/>
    </row>
    <row r="201" spans="2:41" x14ac:dyDescent="0.2">
      <c r="B201" s="22" t="str">
        <f>'Wzorzec kategorii'!B163</f>
        <v>.</v>
      </c>
      <c r="C201" s="19">
        <v>0</v>
      </c>
      <c r="D201" s="20">
        <f>SUM(Tabela2851[#This Row])</f>
        <v>0</v>
      </c>
      <c r="E201" s="20">
        <f t="shared" si="44"/>
        <v>0</v>
      </c>
      <c r="F201" s="53" t="str">
        <f t="shared" si="45"/>
        <v/>
      </c>
      <c r="G201" s="54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25"/>
      <c r="AO201" s="25"/>
    </row>
    <row r="202" spans="2:41" x14ac:dyDescent="0.2">
      <c r="B202" s="22" t="str">
        <f>'Wzorzec kategorii'!B164</f>
        <v>.</v>
      </c>
      <c r="C202" s="19">
        <v>0</v>
      </c>
      <c r="D202" s="20">
        <f>SUM(Tabela2851[#This Row])</f>
        <v>0</v>
      </c>
      <c r="E202" s="20">
        <f t="shared" si="44"/>
        <v>0</v>
      </c>
      <c r="F202" s="53" t="str">
        <f t="shared" si="45"/>
        <v/>
      </c>
      <c r="G202" s="54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25"/>
      <c r="AO202" s="25"/>
    </row>
    <row r="203" spans="2:41" x14ac:dyDescent="0.2">
      <c r="B203" s="22" t="str">
        <f>'Wzorzec kategorii'!B165</f>
        <v>.</v>
      </c>
      <c r="C203" s="19">
        <v>0</v>
      </c>
      <c r="D203" s="20">
        <f>SUM(Tabela2851[#This Row])</f>
        <v>0</v>
      </c>
      <c r="E203" s="20">
        <f t="shared" si="44"/>
        <v>0</v>
      </c>
      <c r="F203" s="53" t="str">
        <f t="shared" si="45"/>
        <v/>
      </c>
      <c r="G203" s="54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25"/>
      <c r="AO203" s="25"/>
    </row>
    <row r="204" spans="2:41" x14ac:dyDescent="0.2">
      <c r="B204" s="5" t="s">
        <v>30</v>
      </c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</row>
    <row r="205" spans="2:41" x14ac:dyDescent="0.2">
      <c r="B205" s="2" t="str">
        <f>'Wzorzec kategorii'!B167</f>
        <v>Budowanie oszczędności</v>
      </c>
      <c r="C205" s="3">
        <f>SUM(Tabela1640[[#All],[Kolumna2]])</f>
        <v>0</v>
      </c>
      <c r="D205" s="16">
        <f>SUM(Tabela1640[[#All],[Kolumna3]])</f>
        <v>0</v>
      </c>
      <c r="E205" s="3">
        <f>C205-D205</f>
        <v>0</v>
      </c>
      <c r="F205" s="17" t="str">
        <f>IFERROR(D205/C205,"")</f>
        <v/>
      </c>
      <c r="G205" s="3"/>
      <c r="I205" s="11" t="s">
        <v>44</v>
      </c>
      <c r="J205" s="11" t="s">
        <v>45</v>
      </c>
      <c r="K205" s="11" t="s">
        <v>46</v>
      </c>
      <c r="L205" s="11" t="s">
        <v>47</v>
      </c>
      <c r="M205" s="11" t="s">
        <v>48</v>
      </c>
      <c r="N205" s="11" t="s">
        <v>49</v>
      </c>
      <c r="O205" s="11" t="s">
        <v>50</v>
      </c>
      <c r="P205" s="11" t="s">
        <v>51</v>
      </c>
      <c r="Q205" s="11" t="s">
        <v>52</v>
      </c>
      <c r="R205" s="11" t="s">
        <v>53</v>
      </c>
      <c r="S205" s="11" t="s">
        <v>54</v>
      </c>
      <c r="T205" s="11" t="s">
        <v>55</v>
      </c>
      <c r="U205" s="11" t="s">
        <v>56</v>
      </c>
      <c r="V205" s="11" t="s">
        <v>57</v>
      </c>
      <c r="W205" s="11" t="s">
        <v>58</v>
      </c>
      <c r="X205" s="11" t="s">
        <v>59</v>
      </c>
      <c r="Y205" s="11" t="s">
        <v>60</v>
      </c>
      <c r="Z205" s="11" t="s">
        <v>61</v>
      </c>
      <c r="AA205" s="11" t="s">
        <v>62</v>
      </c>
      <c r="AB205" s="11" t="s">
        <v>63</v>
      </c>
      <c r="AC205" s="11" t="s">
        <v>64</v>
      </c>
      <c r="AD205" s="11" t="s">
        <v>65</v>
      </c>
      <c r="AE205" s="11" t="s">
        <v>66</v>
      </c>
      <c r="AF205" s="11" t="s">
        <v>67</v>
      </c>
      <c r="AG205" s="11" t="s">
        <v>68</v>
      </c>
      <c r="AH205" s="11" t="s">
        <v>69</v>
      </c>
      <c r="AI205" s="11" t="s">
        <v>70</v>
      </c>
      <c r="AJ205" s="11" t="s">
        <v>71</v>
      </c>
      <c r="AK205" s="11" t="s">
        <v>72</v>
      </c>
      <c r="AL205" s="11" t="s">
        <v>73</v>
      </c>
      <c r="AM205" s="11" t="s">
        <v>74</v>
      </c>
      <c r="AN205" s="25"/>
      <c r="AO205" s="25"/>
    </row>
    <row r="206" spans="2:41" x14ac:dyDescent="0.2">
      <c r="B206" s="22" t="str">
        <f>'Wzorzec kategorii'!B168</f>
        <v>Fundusz awaryjny</v>
      </c>
      <c r="C206" s="19">
        <v>0</v>
      </c>
      <c r="D206" s="20">
        <f>SUM(Tabela192345[#This Row])</f>
        <v>0</v>
      </c>
      <c r="E206" s="20">
        <f t="shared" ref="E206:E213" si="46">C206-D206</f>
        <v>0</v>
      </c>
      <c r="F206" s="21" t="str">
        <f t="shared" ref="F206:F213" si="47">IFERROR(D206/C206,"")</f>
        <v/>
      </c>
      <c r="G206" s="24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25"/>
      <c r="AO206" s="25"/>
    </row>
    <row r="207" spans="2:41" ht="30" x14ac:dyDescent="0.2">
      <c r="B207" s="22" t="str">
        <f>'Wzorzec kategorii'!B169</f>
        <v>Fundusz wydatków nieregularnych</v>
      </c>
      <c r="C207" s="19">
        <v>0</v>
      </c>
      <c r="D207" s="20">
        <f>SUM(Tabela192345[#This Row])</f>
        <v>0</v>
      </c>
      <c r="E207" s="20">
        <f t="shared" si="46"/>
        <v>0</v>
      </c>
      <c r="F207" s="21" t="str">
        <f t="shared" si="47"/>
        <v/>
      </c>
      <c r="G207" s="24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25"/>
      <c r="AO207" s="25"/>
    </row>
    <row r="208" spans="2:41" x14ac:dyDescent="0.2">
      <c r="B208" s="22" t="str">
        <f>'Wzorzec kategorii'!B170</f>
        <v>Poduszka finansowa</v>
      </c>
      <c r="C208" s="19">
        <v>0</v>
      </c>
      <c r="D208" s="20">
        <f>SUM(Tabela192345[#This Row])</f>
        <v>0</v>
      </c>
      <c r="E208" s="20">
        <f t="shared" si="46"/>
        <v>0</v>
      </c>
      <c r="F208" s="21" t="str">
        <f t="shared" si="47"/>
        <v/>
      </c>
      <c r="G208" s="24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25"/>
      <c r="AO208" s="25"/>
    </row>
    <row r="209" spans="2:41" x14ac:dyDescent="0.2">
      <c r="B209" s="22" t="str">
        <f>'Wzorzec kategorii'!B171</f>
        <v>Konto emerytalne IKE/IKZE</v>
      </c>
      <c r="C209" s="19">
        <v>0</v>
      </c>
      <c r="D209" s="20">
        <f>SUM(Tabela192345[#This Row])</f>
        <v>0</v>
      </c>
      <c r="E209" s="20">
        <f t="shared" si="46"/>
        <v>0</v>
      </c>
      <c r="F209" s="21" t="str">
        <f t="shared" si="47"/>
        <v/>
      </c>
      <c r="G209" s="24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25"/>
      <c r="AO209" s="25"/>
    </row>
    <row r="210" spans="2:41" x14ac:dyDescent="0.2">
      <c r="B210" s="22" t="str">
        <f>'Wzorzec kategorii'!B172</f>
        <v>Nadpłata długów</v>
      </c>
      <c r="C210" s="19">
        <v>0</v>
      </c>
      <c r="D210" s="20">
        <f>SUM(Tabela192345[#This Row])</f>
        <v>0</v>
      </c>
      <c r="E210" s="20">
        <f t="shared" si="46"/>
        <v>0</v>
      </c>
      <c r="F210" s="21" t="str">
        <f t="shared" si="47"/>
        <v/>
      </c>
      <c r="G210" s="24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25"/>
      <c r="AO210" s="25"/>
    </row>
    <row r="211" spans="2:41" x14ac:dyDescent="0.2">
      <c r="B211" s="22" t="str">
        <f>'Wzorzec kategorii'!B173</f>
        <v>Fundusz: wakacje</v>
      </c>
      <c r="C211" s="19">
        <v>0</v>
      </c>
      <c r="D211" s="20">
        <f>SUM(Tabela192345[#This Row])</f>
        <v>0</v>
      </c>
      <c r="E211" s="20">
        <f t="shared" si="46"/>
        <v>0</v>
      </c>
      <c r="F211" s="21" t="str">
        <f t="shared" si="47"/>
        <v/>
      </c>
      <c r="G211" s="24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25"/>
      <c r="AO211" s="25"/>
    </row>
    <row r="212" spans="2:41" x14ac:dyDescent="0.2">
      <c r="B212" s="22" t="str">
        <f>'Wzorzec kategorii'!B174</f>
        <v>Fundusz: prezenty świąteczne</v>
      </c>
      <c r="C212" s="19">
        <v>0</v>
      </c>
      <c r="D212" s="20">
        <f>SUM(Tabela192345[#This Row])</f>
        <v>0</v>
      </c>
      <c r="E212" s="20">
        <f t="shared" si="46"/>
        <v>0</v>
      </c>
      <c r="F212" s="21" t="str">
        <f t="shared" si="47"/>
        <v/>
      </c>
      <c r="G212" s="24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25"/>
      <c r="AO212" s="25"/>
    </row>
    <row r="213" spans="2:41" x14ac:dyDescent="0.2">
      <c r="B213" s="22" t="str">
        <f>'Wzorzec kategorii'!B175</f>
        <v>Inne</v>
      </c>
      <c r="C213" s="19">
        <v>0</v>
      </c>
      <c r="D213" s="20">
        <f>SUM(Tabela192345[#This Row])</f>
        <v>0</v>
      </c>
      <c r="E213" s="20">
        <f t="shared" si="46"/>
        <v>0</v>
      </c>
      <c r="F213" s="21" t="str">
        <f t="shared" si="47"/>
        <v/>
      </c>
      <c r="G213" s="24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25"/>
      <c r="AO213" s="25"/>
    </row>
    <row r="214" spans="2:41" x14ac:dyDescent="0.2">
      <c r="B214" s="22" t="str">
        <f>'Wzorzec kategorii'!B176</f>
        <v>.</v>
      </c>
      <c r="C214" s="19">
        <v>0</v>
      </c>
      <c r="D214" s="20">
        <f>SUM(Tabela192345[#This Row])</f>
        <v>0</v>
      </c>
      <c r="E214" s="20">
        <f t="shared" ref="E214:E215" si="48">C214-D214</f>
        <v>0</v>
      </c>
      <c r="F214" s="53" t="str">
        <f t="shared" ref="F214:F215" si="49">IFERROR(D214/C214,"")</f>
        <v/>
      </c>
      <c r="G214" s="54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25"/>
      <c r="AO214" s="25"/>
    </row>
    <row r="215" spans="2:41" x14ac:dyDescent="0.2">
      <c r="B215" s="22" t="str">
        <f>'Wzorzec kategorii'!B177</f>
        <v>.</v>
      </c>
      <c r="C215" s="19">
        <v>0</v>
      </c>
      <c r="D215" s="20">
        <f>SUM(Tabela192345[#This Row])</f>
        <v>0</v>
      </c>
      <c r="E215" s="20">
        <f t="shared" si="48"/>
        <v>0</v>
      </c>
      <c r="F215" s="53" t="str">
        <f t="shared" si="49"/>
        <v/>
      </c>
      <c r="G215" s="54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25"/>
      <c r="AO215" s="25"/>
    </row>
    <row r="216" spans="2:41" x14ac:dyDescent="0.2"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</row>
    <row r="217" spans="2:41" x14ac:dyDescent="0.2">
      <c r="B217" s="2" t="str">
        <f>'Wzorzec kategorii'!B179</f>
        <v>INNE 1</v>
      </c>
      <c r="C217" s="3">
        <f>SUM(Tabela164058[[#All],[Kolumna2]])</f>
        <v>0</v>
      </c>
      <c r="D217" s="16">
        <f>SUM(Tabela164058[[#All],[Kolumna3]])</f>
        <v>0</v>
      </c>
      <c r="E217" s="3">
        <f>C217-D217</f>
        <v>0</v>
      </c>
      <c r="F217" s="17" t="str">
        <f>IFERROR(D217/C217,"")</f>
        <v/>
      </c>
      <c r="G217" s="3"/>
      <c r="I217" s="11" t="s">
        <v>44</v>
      </c>
      <c r="J217" s="11" t="s">
        <v>45</v>
      </c>
      <c r="K217" s="11" t="s">
        <v>46</v>
      </c>
      <c r="L217" s="11" t="s">
        <v>47</v>
      </c>
      <c r="M217" s="11" t="s">
        <v>48</v>
      </c>
      <c r="N217" s="11" t="s">
        <v>49</v>
      </c>
      <c r="O217" s="11" t="s">
        <v>50</v>
      </c>
      <c r="P217" s="11" t="s">
        <v>51</v>
      </c>
      <c r="Q217" s="11" t="s">
        <v>52</v>
      </c>
      <c r="R217" s="11" t="s">
        <v>53</v>
      </c>
      <c r="S217" s="11" t="s">
        <v>54</v>
      </c>
      <c r="T217" s="11" t="s">
        <v>55</v>
      </c>
      <c r="U217" s="11" t="s">
        <v>56</v>
      </c>
      <c r="V217" s="11" t="s">
        <v>57</v>
      </c>
      <c r="W217" s="11" t="s">
        <v>58</v>
      </c>
      <c r="X217" s="11" t="s">
        <v>59</v>
      </c>
      <c r="Y217" s="11" t="s">
        <v>60</v>
      </c>
      <c r="Z217" s="11" t="s">
        <v>61</v>
      </c>
      <c r="AA217" s="11" t="s">
        <v>62</v>
      </c>
      <c r="AB217" s="11" t="s">
        <v>63</v>
      </c>
      <c r="AC217" s="11" t="s">
        <v>64</v>
      </c>
      <c r="AD217" s="11" t="s">
        <v>65</v>
      </c>
      <c r="AE217" s="11" t="s">
        <v>66</v>
      </c>
      <c r="AF217" s="11" t="s">
        <v>67</v>
      </c>
      <c r="AG217" s="11" t="s">
        <v>68</v>
      </c>
      <c r="AH217" s="11" t="s">
        <v>69</v>
      </c>
      <c r="AI217" s="11" t="s">
        <v>70</v>
      </c>
      <c r="AJ217" s="11" t="s">
        <v>71</v>
      </c>
      <c r="AK217" s="11" t="s">
        <v>72</v>
      </c>
      <c r="AL217" s="11" t="s">
        <v>73</v>
      </c>
      <c r="AM217" s="11" t="s">
        <v>74</v>
      </c>
    </row>
    <row r="218" spans="2:41" x14ac:dyDescent="0.2">
      <c r="B218" s="22" t="str">
        <f>'Wzorzec kategorii'!B180</f>
        <v>.</v>
      </c>
      <c r="C218" s="19">
        <v>0</v>
      </c>
      <c r="D218" s="20">
        <f>SUM(Tabela19234559[#This Row])</f>
        <v>0</v>
      </c>
      <c r="E218" s="20">
        <f t="shared" ref="E218:E227" si="50">C218-D218</f>
        <v>0</v>
      </c>
      <c r="F218" s="21" t="str">
        <f t="shared" ref="F218:F227" si="51">IFERROR(D218/C218,"")</f>
        <v/>
      </c>
      <c r="G218" s="24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2:41" x14ac:dyDescent="0.2">
      <c r="B219" s="22" t="str">
        <f>'Wzorzec kategorii'!B181</f>
        <v>.</v>
      </c>
      <c r="C219" s="19">
        <v>0</v>
      </c>
      <c r="D219" s="20">
        <f>SUM(Tabela19234559[#This Row])</f>
        <v>0</v>
      </c>
      <c r="E219" s="20">
        <f t="shared" si="50"/>
        <v>0</v>
      </c>
      <c r="F219" s="21" t="str">
        <f t="shared" si="51"/>
        <v/>
      </c>
      <c r="G219" s="24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 spans="2:41" x14ac:dyDescent="0.2">
      <c r="B220" s="22" t="str">
        <f>'Wzorzec kategorii'!B182</f>
        <v>.</v>
      </c>
      <c r="C220" s="19">
        <v>0</v>
      </c>
      <c r="D220" s="20">
        <f>SUM(Tabela19234559[#This Row])</f>
        <v>0</v>
      </c>
      <c r="E220" s="20">
        <f t="shared" si="50"/>
        <v>0</v>
      </c>
      <c r="F220" s="21" t="str">
        <f t="shared" si="51"/>
        <v/>
      </c>
      <c r="G220" s="24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 spans="2:41" x14ac:dyDescent="0.2">
      <c r="B221" s="22" t="str">
        <f>'Wzorzec kategorii'!B183</f>
        <v>.</v>
      </c>
      <c r="C221" s="19">
        <v>0</v>
      </c>
      <c r="D221" s="20">
        <f>SUM(Tabela19234559[#This Row])</f>
        <v>0</v>
      </c>
      <c r="E221" s="20">
        <f t="shared" si="50"/>
        <v>0</v>
      </c>
      <c r="F221" s="21" t="str">
        <f t="shared" si="51"/>
        <v/>
      </c>
      <c r="G221" s="24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 spans="2:41" x14ac:dyDescent="0.2">
      <c r="B222" s="22" t="str">
        <f>'Wzorzec kategorii'!B184</f>
        <v>.</v>
      </c>
      <c r="C222" s="19">
        <v>0</v>
      </c>
      <c r="D222" s="20">
        <f>SUM(Tabela19234559[#This Row])</f>
        <v>0</v>
      </c>
      <c r="E222" s="20">
        <f t="shared" si="50"/>
        <v>0</v>
      </c>
      <c r="F222" s="21" t="str">
        <f t="shared" si="51"/>
        <v/>
      </c>
      <c r="G222" s="24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</row>
    <row r="223" spans="2:41" x14ac:dyDescent="0.2">
      <c r="B223" s="22" t="str">
        <f>'Wzorzec kategorii'!B185</f>
        <v>.</v>
      </c>
      <c r="C223" s="19">
        <v>0</v>
      </c>
      <c r="D223" s="20">
        <f>SUM(Tabela19234559[#This Row])</f>
        <v>0</v>
      </c>
      <c r="E223" s="20">
        <f t="shared" si="50"/>
        <v>0</v>
      </c>
      <c r="F223" s="21" t="str">
        <f t="shared" si="51"/>
        <v/>
      </c>
      <c r="G223" s="24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</row>
    <row r="224" spans="2:41" x14ac:dyDescent="0.2">
      <c r="B224" s="22" t="str">
        <f>'Wzorzec kategorii'!B186</f>
        <v>.</v>
      </c>
      <c r="C224" s="19">
        <v>0</v>
      </c>
      <c r="D224" s="20">
        <f>SUM(Tabela19234559[#This Row])</f>
        <v>0</v>
      </c>
      <c r="E224" s="20">
        <f t="shared" si="50"/>
        <v>0</v>
      </c>
      <c r="F224" s="21" t="str">
        <f t="shared" si="51"/>
        <v/>
      </c>
      <c r="G224" s="24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2:39" x14ac:dyDescent="0.2">
      <c r="B225" s="22" t="str">
        <f>'Wzorzec kategorii'!B187</f>
        <v>.</v>
      </c>
      <c r="C225" s="19">
        <v>0</v>
      </c>
      <c r="D225" s="20">
        <f>SUM(Tabela19234559[#This Row])</f>
        <v>0</v>
      </c>
      <c r="E225" s="20">
        <f t="shared" si="50"/>
        <v>0</v>
      </c>
      <c r="F225" s="21" t="str">
        <f t="shared" si="51"/>
        <v/>
      </c>
      <c r="G225" s="24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 spans="2:39" x14ac:dyDescent="0.2">
      <c r="B226" s="22" t="str">
        <f>'Wzorzec kategorii'!B188</f>
        <v>.</v>
      </c>
      <c r="C226" s="19">
        <v>0</v>
      </c>
      <c r="D226" s="20">
        <f>SUM(Tabela19234559[#This Row])</f>
        <v>0</v>
      </c>
      <c r="E226" s="20">
        <f t="shared" si="50"/>
        <v>0</v>
      </c>
      <c r="F226" s="53" t="str">
        <f t="shared" si="51"/>
        <v/>
      </c>
      <c r="G226" s="54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</row>
    <row r="227" spans="2:39" x14ac:dyDescent="0.2">
      <c r="B227" s="22" t="str">
        <f>'Wzorzec kategorii'!B189</f>
        <v>.</v>
      </c>
      <c r="C227" s="19">
        <v>0</v>
      </c>
      <c r="D227" s="20">
        <f>SUM(Tabela19234559[#This Row])</f>
        <v>0</v>
      </c>
      <c r="E227" s="20">
        <f t="shared" si="50"/>
        <v>0</v>
      </c>
      <c r="F227" s="53" t="str">
        <f t="shared" si="51"/>
        <v/>
      </c>
      <c r="G227" s="54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</row>
    <row r="228" spans="2:39" x14ac:dyDescent="0.2"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</row>
    <row r="229" spans="2:39" x14ac:dyDescent="0.2">
      <c r="B229" s="2" t="str">
        <f>'Wzorzec kategorii'!B191</f>
        <v>INNE 2</v>
      </c>
      <c r="C229" s="3">
        <f>SUM(Tabela16405860[[#All],[Kolumna2]])</f>
        <v>0</v>
      </c>
      <c r="D229" s="16">
        <f>SUM(Tabela16405860[[#All],[Kolumna3]])</f>
        <v>0</v>
      </c>
      <c r="E229" s="3">
        <f>C229-D229</f>
        <v>0</v>
      </c>
      <c r="F229" s="17" t="str">
        <f>IFERROR(D229/C229,"")</f>
        <v/>
      </c>
      <c r="G229" s="3"/>
      <c r="I229" s="11" t="s">
        <v>44</v>
      </c>
      <c r="J229" s="11" t="s">
        <v>45</v>
      </c>
      <c r="K229" s="11" t="s">
        <v>46</v>
      </c>
      <c r="L229" s="11" t="s">
        <v>47</v>
      </c>
      <c r="M229" s="11" t="s">
        <v>48</v>
      </c>
      <c r="N229" s="11" t="s">
        <v>49</v>
      </c>
      <c r="O229" s="11" t="s">
        <v>50</v>
      </c>
      <c r="P229" s="11" t="s">
        <v>51</v>
      </c>
      <c r="Q229" s="11" t="s">
        <v>52</v>
      </c>
      <c r="R229" s="11" t="s">
        <v>53</v>
      </c>
      <c r="S229" s="11" t="s">
        <v>54</v>
      </c>
      <c r="T229" s="11" t="s">
        <v>55</v>
      </c>
      <c r="U229" s="11" t="s">
        <v>56</v>
      </c>
      <c r="V229" s="11" t="s">
        <v>57</v>
      </c>
      <c r="W229" s="11" t="s">
        <v>58</v>
      </c>
      <c r="X229" s="11" t="s">
        <v>59</v>
      </c>
      <c r="Y229" s="11" t="s">
        <v>60</v>
      </c>
      <c r="Z229" s="11" t="s">
        <v>61</v>
      </c>
      <c r="AA229" s="11" t="s">
        <v>62</v>
      </c>
      <c r="AB229" s="11" t="s">
        <v>63</v>
      </c>
      <c r="AC229" s="11" t="s">
        <v>64</v>
      </c>
      <c r="AD229" s="11" t="s">
        <v>65</v>
      </c>
      <c r="AE229" s="11" t="s">
        <v>66</v>
      </c>
      <c r="AF229" s="11" t="s">
        <v>67</v>
      </c>
      <c r="AG229" s="11" t="s">
        <v>68</v>
      </c>
      <c r="AH229" s="11" t="s">
        <v>69</v>
      </c>
      <c r="AI229" s="11" t="s">
        <v>70</v>
      </c>
      <c r="AJ229" s="11" t="s">
        <v>71</v>
      </c>
      <c r="AK229" s="11" t="s">
        <v>72</v>
      </c>
      <c r="AL229" s="11" t="s">
        <v>73</v>
      </c>
      <c r="AM229" s="11" t="s">
        <v>74</v>
      </c>
    </row>
    <row r="230" spans="2:39" x14ac:dyDescent="0.2">
      <c r="B230" s="22" t="str">
        <f>'Wzorzec kategorii'!B192</f>
        <v>.</v>
      </c>
      <c r="C230" s="19">
        <v>0</v>
      </c>
      <c r="D230" s="20">
        <f>SUM(Tabela1923455962[#This Row])</f>
        <v>0</v>
      </c>
      <c r="E230" s="20">
        <f t="shared" ref="E230:E239" si="52">C230-D230</f>
        <v>0</v>
      </c>
      <c r="F230" s="21" t="str">
        <f t="shared" ref="F230:F239" si="53">IFERROR(D230/C230,"")</f>
        <v/>
      </c>
      <c r="G230" s="24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2:39" x14ac:dyDescent="0.2">
      <c r="B231" s="22" t="str">
        <f>'Wzorzec kategorii'!B193</f>
        <v>.</v>
      </c>
      <c r="C231" s="19">
        <v>0</v>
      </c>
      <c r="D231" s="20">
        <f>SUM(Tabela1923455962[#This Row])</f>
        <v>0</v>
      </c>
      <c r="E231" s="20">
        <f t="shared" si="52"/>
        <v>0</v>
      </c>
      <c r="F231" s="21" t="str">
        <f t="shared" si="53"/>
        <v/>
      </c>
      <c r="G231" s="24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 spans="2:39" x14ac:dyDescent="0.2">
      <c r="B232" s="22" t="str">
        <f>'Wzorzec kategorii'!B194</f>
        <v>.</v>
      </c>
      <c r="C232" s="19">
        <v>0</v>
      </c>
      <c r="D232" s="20">
        <f>SUM(Tabela1923455962[#This Row])</f>
        <v>0</v>
      </c>
      <c r="E232" s="20">
        <f t="shared" si="52"/>
        <v>0</v>
      </c>
      <c r="F232" s="21" t="str">
        <f t="shared" si="53"/>
        <v/>
      </c>
      <c r="G232" s="24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</row>
    <row r="233" spans="2:39" x14ac:dyDescent="0.2">
      <c r="B233" s="22" t="str">
        <f>'Wzorzec kategorii'!B195</f>
        <v>.</v>
      </c>
      <c r="C233" s="19">
        <v>0</v>
      </c>
      <c r="D233" s="20">
        <f>SUM(Tabela1923455962[#This Row])</f>
        <v>0</v>
      </c>
      <c r="E233" s="20">
        <f t="shared" si="52"/>
        <v>0</v>
      </c>
      <c r="F233" s="21" t="str">
        <f t="shared" si="53"/>
        <v/>
      </c>
      <c r="G233" s="24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2:39" x14ac:dyDescent="0.2">
      <c r="B234" s="22" t="str">
        <f>'Wzorzec kategorii'!B196</f>
        <v>.</v>
      </c>
      <c r="C234" s="19">
        <v>0</v>
      </c>
      <c r="D234" s="20">
        <f>SUM(Tabela1923455962[#This Row])</f>
        <v>0</v>
      </c>
      <c r="E234" s="20">
        <f t="shared" si="52"/>
        <v>0</v>
      </c>
      <c r="F234" s="21" t="str">
        <f t="shared" si="53"/>
        <v/>
      </c>
      <c r="G234" s="24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 spans="2:39" x14ac:dyDescent="0.2">
      <c r="B235" s="22" t="str">
        <f>'Wzorzec kategorii'!B197</f>
        <v>.</v>
      </c>
      <c r="C235" s="19">
        <v>0</v>
      </c>
      <c r="D235" s="20">
        <f>SUM(Tabela1923455962[#This Row])</f>
        <v>0</v>
      </c>
      <c r="E235" s="20">
        <f t="shared" si="52"/>
        <v>0</v>
      </c>
      <c r="F235" s="21" t="str">
        <f t="shared" si="53"/>
        <v/>
      </c>
      <c r="G235" s="24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 spans="2:39" x14ac:dyDescent="0.2">
      <c r="B236" s="22" t="str">
        <f>'Wzorzec kategorii'!B198</f>
        <v>.</v>
      </c>
      <c r="C236" s="19">
        <v>0</v>
      </c>
      <c r="D236" s="20">
        <f>SUM(Tabela1923455962[#This Row])</f>
        <v>0</v>
      </c>
      <c r="E236" s="20">
        <f t="shared" si="52"/>
        <v>0</v>
      </c>
      <c r="F236" s="21" t="str">
        <f t="shared" si="53"/>
        <v/>
      </c>
      <c r="G236" s="24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 spans="2:39" x14ac:dyDescent="0.2">
      <c r="B237" s="22" t="str">
        <f>'Wzorzec kategorii'!B199</f>
        <v>.</v>
      </c>
      <c r="C237" s="19">
        <v>0</v>
      </c>
      <c r="D237" s="20">
        <f>SUM(Tabela1923455962[#This Row])</f>
        <v>0</v>
      </c>
      <c r="E237" s="20">
        <f t="shared" si="52"/>
        <v>0</v>
      </c>
      <c r="F237" s="21" t="str">
        <f t="shared" si="53"/>
        <v/>
      </c>
      <c r="G237" s="24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 spans="2:39" x14ac:dyDescent="0.2">
      <c r="B238" s="22" t="str">
        <f>'Wzorzec kategorii'!B200</f>
        <v>.</v>
      </c>
      <c r="C238" s="19">
        <v>0</v>
      </c>
      <c r="D238" s="20">
        <f>SUM(Tabela1923455962[#This Row])</f>
        <v>0</v>
      </c>
      <c r="E238" s="20">
        <f t="shared" si="52"/>
        <v>0</v>
      </c>
      <c r="F238" s="53" t="str">
        <f t="shared" si="53"/>
        <v/>
      </c>
      <c r="G238" s="54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</row>
    <row r="239" spans="2:39" x14ac:dyDescent="0.2">
      <c r="B239" s="22" t="str">
        <f>'Wzorzec kategorii'!B201</f>
        <v>.</v>
      </c>
      <c r="C239" s="19">
        <v>0</v>
      </c>
      <c r="D239" s="20">
        <f>SUM(Tabela1923455962[#This Row])</f>
        <v>0</v>
      </c>
      <c r="E239" s="20">
        <f t="shared" si="52"/>
        <v>0</v>
      </c>
      <c r="F239" s="53" t="str">
        <f t="shared" si="53"/>
        <v/>
      </c>
      <c r="G239" s="54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</row>
    <row r="240" spans="2:39" x14ac:dyDescent="0.2"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</row>
    <row r="241" spans="2:39" x14ac:dyDescent="0.2">
      <c r="B241" s="2" t="str">
        <f>'Wzorzec kategorii'!B203</f>
        <v>INNE 3</v>
      </c>
      <c r="C241" s="3">
        <f>SUM(Tabela1640586061[[#All],[Kolumna2]])</f>
        <v>0</v>
      </c>
      <c r="D241" s="16">
        <f>SUM(Tabela1640586061[[#All],[Kolumna3]])</f>
        <v>0</v>
      </c>
      <c r="E241" s="3">
        <f>C241-D241</f>
        <v>0</v>
      </c>
      <c r="F241" s="17" t="str">
        <f>IFERROR(D241/C241,"")</f>
        <v/>
      </c>
      <c r="G241" s="3"/>
      <c r="I241" s="11" t="s">
        <v>44</v>
      </c>
      <c r="J241" s="11" t="s">
        <v>45</v>
      </c>
      <c r="K241" s="11" t="s">
        <v>46</v>
      </c>
      <c r="L241" s="11" t="s">
        <v>47</v>
      </c>
      <c r="M241" s="11" t="s">
        <v>48</v>
      </c>
      <c r="N241" s="11" t="s">
        <v>49</v>
      </c>
      <c r="O241" s="11" t="s">
        <v>50</v>
      </c>
      <c r="P241" s="11" t="s">
        <v>51</v>
      </c>
      <c r="Q241" s="11" t="s">
        <v>52</v>
      </c>
      <c r="R241" s="11" t="s">
        <v>53</v>
      </c>
      <c r="S241" s="11" t="s">
        <v>54</v>
      </c>
      <c r="T241" s="11" t="s">
        <v>55</v>
      </c>
      <c r="U241" s="11" t="s">
        <v>56</v>
      </c>
      <c r="V241" s="11" t="s">
        <v>57</v>
      </c>
      <c r="W241" s="11" t="s">
        <v>58</v>
      </c>
      <c r="X241" s="11" t="s">
        <v>59</v>
      </c>
      <c r="Y241" s="11" t="s">
        <v>60</v>
      </c>
      <c r="Z241" s="11" t="s">
        <v>61</v>
      </c>
      <c r="AA241" s="11" t="s">
        <v>62</v>
      </c>
      <c r="AB241" s="11" t="s">
        <v>63</v>
      </c>
      <c r="AC241" s="11" t="s">
        <v>64</v>
      </c>
      <c r="AD241" s="11" t="s">
        <v>65</v>
      </c>
      <c r="AE241" s="11" t="s">
        <v>66</v>
      </c>
      <c r="AF241" s="11" t="s">
        <v>67</v>
      </c>
      <c r="AG241" s="11" t="s">
        <v>68</v>
      </c>
      <c r="AH241" s="11" t="s">
        <v>69</v>
      </c>
      <c r="AI241" s="11" t="s">
        <v>70</v>
      </c>
      <c r="AJ241" s="11" t="s">
        <v>71</v>
      </c>
      <c r="AK241" s="11" t="s">
        <v>72</v>
      </c>
      <c r="AL241" s="11" t="s">
        <v>73</v>
      </c>
      <c r="AM241" s="11" t="s">
        <v>74</v>
      </c>
    </row>
    <row r="242" spans="2:39" x14ac:dyDescent="0.2">
      <c r="B242" s="22" t="str">
        <f>'Wzorzec kategorii'!B204</f>
        <v>.</v>
      </c>
      <c r="C242" s="19">
        <v>0</v>
      </c>
      <c r="D242" s="20">
        <f>SUM(Tabela1923455963[#This Row])</f>
        <v>0</v>
      </c>
      <c r="E242" s="20">
        <f t="shared" ref="E242:E251" si="54">C242-D242</f>
        <v>0</v>
      </c>
      <c r="F242" s="21" t="str">
        <f t="shared" ref="F242:F251" si="55">IFERROR(D242/C242,"")</f>
        <v/>
      </c>
      <c r="G242" s="24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2:39" x14ac:dyDescent="0.2">
      <c r="B243" s="22" t="str">
        <f>'Wzorzec kategorii'!B205</f>
        <v>.</v>
      </c>
      <c r="C243" s="19">
        <v>0</v>
      </c>
      <c r="D243" s="20">
        <f>SUM(Tabela1923455963[#This Row])</f>
        <v>0</v>
      </c>
      <c r="E243" s="20">
        <f t="shared" si="54"/>
        <v>0</v>
      </c>
      <c r="F243" s="21" t="str">
        <f t="shared" si="55"/>
        <v/>
      </c>
      <c r="G243" s="24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 spans="2:39" x14ac:dyDescent="0.2">
      <c r="B244" s="22" t="str">
        <f>'Wzorzec kategorii'!B206</f>
        <v>.</v>
      </c>
      <c r="C244" s="19">
        <v>0</v>
      </c>
      <c r="D244" s="20">
        <f>SUM(Tabela1923455963[#This Row])</f>
        <v>0</v>
      </c>
      <c r="E244" s="20">
        <f t="shared" si="54"/>
        <v>0</v>
      </c>
      <c r="F244" s="21" t="str">
        <f t="shared" si="55"/>
        <v/>
      </c>
      <c r="G244" s="24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 spans="2:39" x14ac:dyDescent="0.2">
      <c r="B245" s="22" t="str">
        <f>'Wzorzec kategorii'!B207</f>
        <v>.</v>
      </c>
      <c r="C245" s="19">
        <v>0</v>
      </c>
      <c r="D245" s="20">
        <f>SUM(Tabela1923455963[#This Row])</f>
        <v>0</v>
      </c>
      <c r="E245" s="20">
        <f t="shared" si="54"/>
        <v>0</v>
      </c>
      <c r="F245" s="21" t="str">
        <f t="shared" si="55"/>
        <v/>
      </c>
      <c r="G245" s="24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2:39" x14ac:dyDescent="0.2">
      <c r="B246" s="22" t="str">
        <f>'Wzorzec kategorii'!B208</f>
        <v>.</v>
      </c>
      <c r="C246" s="19">
        <v>0</v>
      </c>
      <c r="D246" s="20">
        <f>SUM(Tabela1923455963[#This Row])</f>
        <v>0</v>
      </c>
      <c r="E246" s="20">
        <f t="shared" si="54"/>
        <v>0</v>
      </c>
      <c r="F246" s="21" t="str">
        <f t="shared" si="55"/>
        <v/>
      </c>
      <c r="G246" s="24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 spans="2:39" x14ac:dyDescent="0.2">
      <c r="B247" s="22" t="str">
        <f>'Wzorzec kategorii'!B209</f>
        <v>.</v>
      </c>
      <c r="C247" s="19">
        <v>0</v>
      </c>
      <c r="D247" s="20">
        <f>SUM(Tabela1923455963[#This Row])</f>
        <v>0</v>
      </c>
      <c r="E247" s="20">
        <f t="shared" si="54"/>
        <v>0</v>
      </c>
      <c r="F247" s="21" t="str">
        <f t="shared" si="55"/>
        <v/>
      </c>
      <c r="G247" s="24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</row>
    <row r="248" spans="2:39" x14ac:dyDescent="0.2">
      <c r="B248" s="22" t="str">
        <f>'Wzorzec kategorii'!B210</f>
        <v>.</v>
      </c>
      <c r="C248" s="19">
        <v>0</v>
      </c>
      <c r="D248" s="20">
        <f>SUM(Tabela1923455963[#This Row])</f>
        <v>0</v>
      </c>
      <c r="E248" s="20">
        <f t="shared" si="54"/>
        <v>0</v>
      </c>
      <c r="F248" s="21" t="str">
        <f t="shared" si="55"/>
        <v/>
      </c>
      <c r="G248" s="24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 spans="2:39" x14ac:dyDescent="0.2">
      <c r="B249" s="22" t="str">
        <f>'Wzorzec kategorii'!B211</f>
        <v>.</v>
      </c>
      <c r="C249" s="19">
        <v>0</v>
      </c>
      <c r="D249" s="20">
        <f>SUM(Tabela1923455963[#This Row])</f>
        <v>0</v>
      </c>
      <c r="E249" s="20">
        <f t="shared" si="54"/>
        <v>0</v>
      </c>
      <c r="F249" s="21" t="str">
        <f t="shared" si="55"/>
        <v/>
      </c>
      <c r="G249" s="24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 spans="2:39" x14ac:dyDescent="0.2">
      <c r="B250" s="22" t="str">
        <f>'Wzorzec kategorii'!B212</f>
        <v>.</v>
      </c>
      <c r="C250" s="19">
        <v>0</v>
      </c>
      <c r="D250" s="20">
        <f>SUM(Tabela1923455963[#This Row])</f>
        <v>0</v>
      </c>
      <c r="E250" s="20">
        <f t="shared" si="54"/>
        <v>0</v>
      </c>
      <c r="F250" s="53" t="str">
        <f t="shared" si="55"/>
        <v/>
      </c>
      <c r="G250" s="54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</row>
    <row r="251" spans="2:39" x14ac:dyDescent="0.2">
      <c r="B251" s="22" t="str">
        <f>'Wzorzec kategorii'!B213</f>
        <v>.</v>
      </c>
      <c r="C251" s="19">
        <v>0</v>
      </c>
      <c r="D251" s="20">
        <f>SUM(Tabela1923455963[#This Row])</f>
        <v>0</v>
      </c>
      <c r="E251" s="20">
        <f t="shared" si="54"/>
        <v>0</v>
      </c>
      <c r="F251" s="53" t="str">
        <f t="shared" si="55"/>
        <v/>
      </c>
      <c r="G251" s="54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</row>
    <row r="252" spans="2:39" x14ac:dyDescent="0.2"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</row>
    <row r="253" spans="2:39" ht="30" x14ac:dyDescent="0.2">
      <c r="C253" s="9" t="s">
        <v>131</v>
      </c>
      <c r="D253" s="10" t="s">
        <v>135</v>
      </c>
      <c r="E253" s="8" t="s">
        <v>129</v>
      </c>
      <c r="I253" s="9" t="s">
        <v>44</v>
      </c>
      <c r="J253" s="9" t="s">
        <v>45</v>
      </c>
      <c r="K253" s="9" t="s">
        <v>46</v>
      </c>
      <c r="L253" s="9" t="s">
        <v>47</v>
      </c>
      <c r="M253" s="9" t="s">
        <v>48</v>
      </c>
      <c r="N253" s="9" t="s">
        <v>49</v>
      </c>
      <c r="O253" s="9" t="s">
        <v>50</v>
      </c>
      <c r="P253" s="9" t="s">
        <v>51</v>
      </c>
      <c r="Q253" s="9" t="s">
        <v>52</v>
      </c>
      <c r="R253" s="9" t="s">
        <v>53</v>
      </c>
      <c r="S253" s="9" t="s">
        <v>54</v>
      </c>
      <c r="T253" s="9" t="s">
        <v>55</v>
      </c>
      <c r="U253" s="9" t="s">
        <v>56</v>
      </c>
      <c r="V253" s="9" t="s">
        <v>57</v>
      </c>
      <c r="W253" s="9" t="s">
        <v>58</v>
      </c>
      <c r="X253" s="9" t="s">
        <v>59</v>
      </c>
      <c r="Y253" s="9" t="s">
        <v>60</v>
      </c>
      <c r="Z253" s="9" t="s">
        <v>61</v>
      </c>
      <c r="AA253" s="9" t="s">
        <v>62</v>
      </c>
      <c r="AB253" s="9" t="s">
        <v>63</v>
      </c>
      <c r="AC253" s="9" t="s">
        <v>64</v>
      </c>
      <c r="AD253" s="9" t="s">
        <v>65</v>
      </c>
      <c r="AE253" s="9" t="s">
        <v>66</v>
      </c>
      <c r="AF253" s="9" t="s">
        <v>67</v>
      </c>
      <c r="AG253" s="9" t="s">
        <v>68</v>
      </c>
      <c r="AH253" s="9" t="s">
        <v>69</v>
      </c>
      <c r="AI253" s="9" t="s">
        <v>70</v>
      </c>
      <c r="AJ253" s="9" t="s">
        <v>71</v>
      </c>
      <c r="AK253" s="9" t="s">
        <v>72</v>
      </c>
      <c r="AL253" s="9" t="s">
        <v>73</v>
      </c>
      <c r="AM253" s="9" t="s">
        <v>74</v>
      </c>
    </row>
    <row r="254" spans="2:39" ht="22" customHeight="1" x14ac:dyDescent="0.2">
      <c r="B254" s="39" t="s">
        <v>31</v>
      </c>
      <c r="C254" s="40">
        <f>C71</f>
        <v>0</v>
      </c>
      <c r="D254" s="40">
        <f>D71</f>
        <v>0</v>
      </c>
      <c r="E254" s="40">
        <f>C254-D254</f>
        <v>0</v>
      </c>
      <c r="G254" s="39" t="s">
        <v>126</v>
      </c>
      <c r="I254" s="43">
        <f>SUM(I73:I251)</f>
        <v>0</v>
      </c>
      <c r="J254" s="43">
        <f>SUM(J73:J251)</f>
        <v>0</v>
      </c>
      <c r="K254" s="43">
        <f>SUM(K73:K251)</f>
        <v>0</v>
      </c>
      <c r="L254" s="43">
        <f t="shared" ref="L254:AM254" si="56">SUM(L73:L251)</f>
        <v>0</v>
      </c>
      <c r="M254" s="43">
        <f t="shared" si="56"/>
        <v>0</v>
      </c>
      <c r="N254" s="43">
        <f t="shared" si="56"/>
        <v>0</v>
      </c>
      <c r="O254" s="43">
        <f t="shared" si="56"/>
        <v>0</v>
      </c>
      <c r="P254" s="43">
        <f t="shared" si="56"/>
        <v>0</v>
      </c>
      <c r="Q254" s="43">
        <f t="shared" si="56"/>
        <v>0</v>
      </c>
      <c r="R254" s="43">
        <f t="shared" si="56"/>
        <v>0</v>
      </c>
      <c r="S254" s="43">
        <f t="shared" si="56"/>
        <v>0</v>
      </c>
      <c r="T254" s="43">
        <f t="shared" si="56"/>
        <v>0</v>
      </c>
      <c r="U254" s="43">
        <f t="shared" si="56"/>
        <v>0</v>
      </c>
      <c r="V254" s="43">
        <f t="shared" si="56"/>
        <v>0</v>
      </c>
      <c r="W254" s="43">
        <f t="shared" si="56"/>
        <v>0</v>
      </c>
      <c r="X254" s="43">
        <f t="shared" si="56"/>
        <v>0</v>
      </c>
      <c r="Y254" s="43">
        <f t="shared" si="56"/>
        <v>0</v>
      </c>
      <c r="Z254" s="43">
        <f t="shared" si="56"/>
        <v>0</v>
      </c>
      <c r="AA254" s="43">
        <f t="shared" si="56"/>
        <v>0</v>
      </c>
      <c r="AB254" s="43">
        <f t="shared" si="56"/>
        <v>0</v>
      </c>
      <c r="AC254" s="43">
        <f t="shared" si="56"/>
        <v>0</v>
      </c>
      <c r="AD254" s="43">
        <f t="shared" si="56"/>
        <v>0</v>
      </c>
      <c r="AE254" s="43">
        <f t="shared" si="56"/>
        <v>0</v>
      </c>
      <c r="AF254" s="43">
        <f t="shared" si="56"/>
        <v>0</v>
      </c>
      <c r="AG254" s="43">
        <f t="shared" si="56"/>
        <v>0</v>
      </c>
      <c r="AH254" s="43">
        <f t="shared" si="56"/>
        <v>0</v>
      </c>
      <c r="AI254" s="43">
        <f t="shared" si="56"/>
        <v>0</v>
      </c>
      <c r="AJ254" s="43">
        <f t="shared" si="56"/>
        <v>0</v>
      </c>
      <c r="AK254" s="43">
        <f t="shared" si="56"/>
        <v>0</v>
      </c>
      <c r="AL254" s="43">
        <f t="shared" si="56"/>
        <v>0</v>
      </c>
      <c r="AM254" s="43">
        <f t="shared" si="56"/>
        <v>0</v>
      </c>
    </row>
    <row r="255" spans="2:39" x14ac:dyDescent="0.2"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</row>
  </sheetData>
  <mergeCells count="27">
    <mergeCell ref="C37:D37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39:D39"/>
    <mergeCell ref="C40:D40"/>
    <mergeCell ref="C41:D41"/>
    <mergeCell ref="B25:E25"/>
    <mergeCell ref="B2:C2"/>
    <mergeCell ref="D2:E2"/>
    <mergeCell ref="B4:E4"/>
    <mergeCell ref="B9:C9"/>
    <mergeCell ref="B10:C10"/>
    <mergeCell ref="B12:C12"/>
    <mergeCell ref="B16:C16"/>
    <mergeCell ref="B17:C17"/>
    <mergeCell ref="B19:C19"/>
    <mergeCell ref="B21:E21"/>
    <mergeCell ref="B23:D23"/>
    <mergeCell ref="C38:D38"/>
  </mergeCells>
  <conditionalFormatting sqref="D73">
    <cfRule type="dataBar" priority="29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{424DA897-3332-274F-8B01-1A6E4254AFD3}</x14:id>
        </ext>
      </extLst>
    </cfRule>
  </conditionalFormatting>
  <conditionalFormatting sqref="D85">
    <cfRule type="dataBar" priority="28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{124EDB7E-0CE5-8343-903A-C960EE370901}</x14:id>
        </ext>
      </extLst>
    </cfRule>
  </conditionalFormatting>
  <conditionalFormatting sqref="B23:D23">
    <cfRule type="dataBar" priority="27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{09D6DAC3-DCD3-4F4E-9C11-CF6E591CF028}</x14:id>
        </ext>
      </extLst>
    </cfRule>
  </conditionalFormatting>
  <conditionalFormatting sqref="C27:D27">
    <cfRule type="dataBar" priority="26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{A2DCFABA-9628-9F41-9572-3F9B7A9F0D66}</x14:id>
        </ext>
      </extLst>
    </cfRule>
  </conditionalFormatting>
  <conditionalFormatting sqref="D97">
    <cfRule type="dataBar" priority="25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{874F591A-7C80-D940-98DF-785F0619A4CE}</x14:id>
        </ext>
      </extLst>
    </cfRule>
  </conditionalFormatting>
  <conditionalFormatting sqref="C28:D28">
    <cfRule type="dataBar" priority="24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{0CF1D80B-7CE6-D94F-AC7A-FA03D3B3FEA1}</x14:id>
        </ext>
      </extLst>
    </cfRule>
  </conditionalFormatting>
  <conditionalFormatting sqref="C29:D29">
    <cfRule type="dataBar" priority="23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{B0E6340C-7FD2-2D4C-8045-1D97EB67D14F}</x14:id>
        </ext>
      </extLst>
    </cfRule>
  </conditionalFormatting>
  <conditionalFormatting sqref="C30:D30">
    <cfRule type="dataBar" priority="22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{7A97EFBA-84D6-1748-9EE4-0030F367F131}</x14:id>
        </ext>
      </extLst>
    </cfRule>
  </conditionalFormatting>
  <conditionalFormatting sqref="C31:D31">
    <cfRule type="dataBar" priority="21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{D51F045F-CF98-7046-A61F-5308C037D804}</x14:id>
        </ext>
      </extLst>
    </cfRule>
  </conditionalFormatting>
  <conditionalFormatting sqref="C32:D32">
    <cfRule type="dataBar" priority="20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{D93F3130-5196-A548-AF1A-D469FEEB667E}</x14:id>
        </ext>
      </extLst>
    </cfRule>
  </conditionalFormatting>
  <conditionalFormatting sqref="C33:D33">
    <cfRule type="dataBar" priority="19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{C3A9A65C-6FD3-DC4F-96B0-B3A52072A846}</x14:id>
        </ext>
      </extLst>
    </cfRule>
  </conditionalFormatting>
  <conditionalFormatting sqref="C34:D34">
    <cfRule type="dataBar" priority="18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{7D075E10-B513-C64A-9163-C6CDD4CB9342}</x14:id>
        </ext>
      </extLst>
    </cfRule>
  </conditionalFormatting>
  <conditionalFormatting sqref="C35:D35">
    <cfRule type="dataBar" priority="17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{07DA7A4D-BFFA-D84B-A681-CE56C770F99A}</x14:id>
        </ext>
      </extLst>
    </cfRule>
  </conditionalFormatting>
  <conditionalFormatting sqref="C36:D36">
    <cfRule type="dataBar" priority="16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{9F317D27-5700-E54D-94F0-76C2608CC2BE}</x14:id>
        </ext>
      </extLst>
    </cfRule>
  </conditionalFormatting>
  <conditionalFormatting sqref="C37:D37">
    <cfRule type="dataBar" priority="15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{0A7EA69E-E201-0144-8FB4-95681DF96C3D}</x14:id>
        </ext>
      </extLst>
    </cfRule>
  </conditionalFormatting>
  <conditionalFormatting sqref="C38:D41">
    <cfRule type="dataBar" priority="14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{CEB37CD2-0292-684F-93B8-0FD57C268250}</x14:id>
        </ext>
      </extLst>
    </cfRule>
  </conditionalFormatting>
  <conditionalFormatting sqref="D109">
    <cfRule type="dataBar" priority="13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{2B82B29D-0C88-2343-8B0F-D3EA8588E6FF}</x14:id>
        </ext>
      </extLst>
    </cfRule>
  </conditionalFormatting>
  <conditionalFormatting sqref="D121">
    <cfRule type="dataBar" priority="12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{A9D57E19-6F4E-A546-9F6E-7E4C464BFC42}</x14:id>
        </ext>
      </extLst>
    </cfRule>
  </conditionalFormatting>
  <conditionalFormatting sqref="D133">
    <cfRule type="dataBar" priority="11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{66DCF07E-DF59-D44D-84C7-77F244667160}</x14:id>
        </ext>
      </extLst>
    </cfRule>
  </conditionalFormatting>
  <conditionalFormatting sqref="D145">
    <cfRule type="dataBar" priority="10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{2D7D5EE2-E117-3C4B-B312-5CF4C1A37370}</x14:id>
        </ext>
      </extLst>
    </cfRule>
  </conditionalFormatting>
  <conditionalFormatting sqref="D157">
    <cfRule type="dataBar" priority="9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{C2B02F43-D64C-DC41-AA08-7D052820D0F6}</x14:id>
        </ext>
      </extLst>
    </cfRule>
  </conditionalFormatting>
  <conditionalFormatting sqref="D169">
    <cfRule type="dataBar" priority="8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{C8DFCD74-00ED-D640-B05E-83779095CEF0}</x14:id>
        </ext>
      </extLst>
    </cfRule>
  </conditionalFormatting>
  <conditionalFormatting sqref="D181">
    <cfRule type="dataBar" priority="7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{0BDBA82E-7142-AA4F-BE34-69619EBC0F35}</x14:id>
        </ext>
      </extLst>
    </cfRule>
  </conditionalFormatting>
  <conditionalFormatting sqref="D193">
    <cfRule type="dataBar" priority="6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{95CC181F-F766-BF4F-910F-5C3580FB883F}</x14:id>
        </ext>
      </extLst>
    </cfRule>
  </conditionalFormatting>
  <conditionalFormatting sqref="D205">
    <cfRule type="dataBar" priority="5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{0EC4B588-82F8-5947-92FD-BEDBD07510B0}</x14:id>
        </ext>
      </extLst>
    </cfRule>
  </conditionalFormatting>
  <conditionalFormatting sqref="D51">
    <cfRule type="dataBar" priority="4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{8C45036B-F3B0-7A4E-8432-5A3D906D13FA}</x14:id>
        </ext>
      </extLst>
    </cfRule>
  </conditionalFormatting>
  <conditionalFormatting sqref="D217">
    <cfRule type="dataBar" priority="3">
      <dataBar>
        <cfvo type="num" val="0"/>
        <cfvo type="formula" val="$C$217"/>
        <color rgb="FF92D050"/>
      </dataBar>
      <extLst>
        <ext xmlns:x14="http://schemas.microsoft.com/office/spreadsheetml/2009/9/main" uri="{B025F937-C7B1-47D3-B67F-A62EFF666E3E}">
          <x14:id>{2E049C18-0EA0-4F45-95E5-B9FF63192704}</x14:id>
        </ext>
      </extLst>
    </cfRule>
  </conditionalFormatting>
  <conditionalFormatting sqref="D229">
    <cfRule type="dataBar" priority="2">
      <dataBar>
        <cfvo type="num" val="0"/>
        <cfvo type="formula" val="$C$229"/>
        <color rgb="FF92D050"/>
      </dataBar>
      <extLst>
        <ext xmlns:x14="http://schemas.microsoft.com/office/spreadsheetml/2009/9/main" uri="{B025F937-C7B1-47D3-B67F-A62EFF666E3E}">
          <x14:id>{D6BD7299-4DEB-3B4D-BB1F-F60A0CFC146E}</x14:id>
        </ext>
      </extLst>
    </cfRule>
  </conditionalFormatting>
  <conditionalFormatting sqref="D241">
    <cfRule type="dataBar" priority="1">
      <dataBar>
        <cfvo type="num" val="0"/>
        <cfvo type="formula" val="$C$241"/>
        <color rgb="FF92D050"/>
      </dataBar>
      <extLst>
        <ext xmlns:x14="http://schemas.microsoft.com/office/spreadsheetml/2009/9/main" uri="{B025F937-C7B1-47D3-B67F-A62EFF666E3E}">
          <x14:id>{99C3A851-8D5C-9547-9CAF-491D8BF2EA58}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ignoredErrors>
    <ignoredError sqref="C39 E40" formula="1"/>
  </ignoredErrors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24DA897-3332-274F-8B01-1A6E4254AFD3}">
            <x14:dataBar minLength="0" maxLength="100" gradient="0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124EDB7E-0CE5-8343-903A-C960EE370901}">
            <x14:dataBar minLength="0" maxLength="100" gradient="0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09D6DAC3-DCD3-4F4E-9C11-CF6E591CF028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A2DCFABA-9628-9F41-9572-3F9B7A9F0D66}">
            <x14:dataBar minLength="0" maxLength="100" gradient="0" direction="leftToRight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874F591A-7C80-D940-98DF-785F0619A4CE}">
            <x14:dataBar minLength="0" maxLength="100" gradient="0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0CF1D80B-7CE6-D94F-AC7A-FA03D3B3FEA1}">
            <x14:dataBar minLength="0" maxLength="100" gradient="0" direction="leftToRight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B0E6340C-7FD2-2D4C-8045-1D97EB67D14F}">
            <x14:dataBar minLength="0" maxLength="100" gradient="0" direction="leftToRight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7A97EFBA-84D6-1748-9EE4-0030F367F131}">
            <x14:dataBar minLength="0" maxLength="100" gradient="0" direction="leftToRight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D51F045F-CF98-7046-A61F-5308C037D804}">
            <x14:dataBar minLength="0" maxLength="100" gradient="0" direction="leftToRight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D93F3130-5196-A548-AF1A-D469FEEB667E}">
            <x14:dataBar minLength="0" maxLength="100" gradient="0" direction="leftToRight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C3A9A65C-6FD3-DC4F-96B0-B3A52072A846}">
            <x14:dataBar minLength="0" maxLength="100" gradient="0" direction="leftToRight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7D075E10-B513-C64A-9163-C6CDD4CB9342}">
            <x14:dataBar minLength="0" maxLength="100" gradient="0" direction="leftToRight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07DA7A4D-BFFA-D84B-A681-CE56C770F99A}">
            <x14:dataBar minLength="0" maxLength="100" gradient="0" direction="leftToRight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9F317D27-5700-E54D-94F0-76C2608CC2BE}">
            <x14:dataBar minLength="0" maxLength="100" gradient="0" direction="leftToRight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0A7EA69E-E201-0144-8FB4-95681DF96C3D}">
            <x14:dataBar minLength="0" maxLength="100" gradient="0" direction="leftToRight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CEB37CD2-0292-684F-93B8-0FD57C268250}">
            <x14:dataBar minLength="0" maxLength="100" gradient="0" direction="leftToRight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C38:D41</xm:sqref>
        </x14:conditionalFormatting>
        <x14:conditionalFormatting xmlns:xm="http://schemas.microsoft.com/office/excel/2006/main">
          <x14:cfRule type="dataBar" id="{2B82B29D-0C88-2343-8B0F-D3EA8588E6FF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D109</xm:sqref>
        </x14:conditionalFormatting>
        <x14:conditionalFormatting xmlns:xm="http://schemas.microsoft.com/office/excel/2006/main">
          <x14:cfRule type="dataBar" id="{A9D57E19-6F4E-A546-9F6E-7E4C464BFC42}">
            <x14:dataBar minLength="0" maxLength="100" gradient="0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D121</xm:sqref>
        </x14:conditionalFormatting>
        <x14:conditionalFormatting xmlns:xm="http://schemas.microsoft.com/office/excel/2006/main">
          <x14:cfRule type="dataBar" id="{66DCF07E-DF59-D44D-84C7-77F244667160}">
            <x14:dataBar minLength="0" maxLength="100" gradient="0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2D7D5EE2-E117-3C4B-B312-5CF4C1A37370}">
            <x14:dataBar minLength="0" maxLength="100" gradient="0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C2B02F43-D64C-DC41-AA08-7D052820D0F6}">
            <x14:dataBar minLength="0" maxLength="100" gradient="0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C8DFCD74-00ED-D640-B05E-83779095CEF0}">
            <x14:dataBar minLength="0" maxLength="100" gradient="0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0BDBA82E-7142-AA4F-BE34-69619EBC0F35}">
            <x14:dataBar minLength="0" maxLength="100" gradient="0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95CC181F-F766-BF4F-910F-5C3580FB883F}">
            <x14:dataBar minLength="0" maxLength="100" gradient="0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D193</xm:sqref>
        </x14:conditionalFormatting>
        <x14:conditionalFormatting xmlns:xm="http://schemas.microsoft.com/office/excel/2006/main">
          <x14:cfRule type="dataBar" id="{0EC4B588-82F8-5947-92FD-BEDBD07510B0}">
            <x14:dataBar minLength="0" maxLength="100" gradient="0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D205</xm:sqref>
        </x14:conditionalFormatting>
        <x14:conditionalFormatting xmlns:xm="http://schemas.microsoft.com/office/excel/2006/main">
          <x14:cfRule type="dataBar" id="{8C45036B-F3B0-7A4E-8432-5A3D906D13FA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2E049C18-0EA0-4F45-95E5-B9FF63192704}">
            <x14:dataBar minLength="0" maxLength="100" gradient="0">
              <x14:cfvo type="num">
                <xm:f>0</xm:f>
              </x14:cfvo>
              <x14:cfvo type="formula">
                <xm:f>$C$217</xm:f>
              </x14:cfvo>
              <x14:negativeFillColor rgb="FFFF0000"/>
              <x14:axisColor rgb="FF000000"/>
            </x14:dataBar>
          </x14:cfRule>
          <xm:sqref>D217</xm:sqref>
        </x14:conditionalFormatting>
        <x14:conditionalFormatting xmlns:xm="http://schemas.microsoft.com/office/excel/2006/main">
          <x14:cfRule type="dataBar" id="{D6BD7299-4DEB-3B4D-BB1F-F60A0CFC146E}">
            <x14:dataBar minLength="0" maxLength="100" gradient="0">
              <x14:cfvo type="num">
                <xm:f>0</xm:f>
              </x14:cfvo>
              <x14:cfvo type="formula">
                <xm:f>$C$229</xm:f>
              </x14:cfvo>
              <x14:negativeFillColor rgb="FFFF0000"/>
              <x14:axisColor rgb="FF000000"/>
            </x14:dataBar>
          </x14:cfRule>
          <xm:sqref>D229</xm:sqref>
        </x14:conditionalFormatting>
        <x14:conditionalFormatting xmlns:xm="http://schemas.microsoft.com/office/excel/2006/main">
          <x14:cfRule type="dataBar" id="{99C3A851-8D5C-9547-9CAF-491D8BF2EA58}">
            <x14:dataBar minLength="0" maxLength="100" gradient="0">
              <x14:cfvo type="num">
                <xm:f>0</xm:f>
              </x14:cfvo>
              <x14:cfvo type="formula">
                <xm:f>$C$241</xm:f>
              </x14:cfvo>
              <x14:negativeFillColor rgb="FFFF0000"/>
              <x14:axisColor rgb="FF000000"/>
            </x14:dataBar>
          </x14:cfRule>
          <xm:sqref>D241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 enableFormatConditionsCalculation="0"/>
  <dimension ref="B2:AO255"/>
  <sheetViews>
    <sheetView showGridLines="0" workbookViewId="0">
      <pane xSplit="8" topLeftCell="I1" activePane="topRight" state="frozen"/>
      <selection activeCell="A12" sqref="A12"/>
      <selection pane="topRight" activeCell="I2" sqref="I2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  <col min="9" max="39" width="11.33203125" customWidth="1"/>
  </cols>
  <sheetData>
    <row r="2" spans="2:7" ht="24" x14ac:dyDescent="0.3">
      <c r="B2" s="66" t="s">
        <v>130</v>
      </c>
      <c r="C2" s="66"/>
      <c r="D2" s="67" t="s">
        <v>160</v>
      </c>
      <c r="E2" s="68"/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69" t="s">
        <v>144</v>
      </c>
      <c r="C4" s="70"/>
      <c r="D4" s="70"/>
      <c r="E4" s="70"/>
    </row>
    <row r="5" spans="2:7" outlineLevel="1" x14ac:dyDescent="0.2">
      <c r="B5" s="41" t="s">
        <v>147</v>
      </c>
      <c r="C5" s="45" t="s">
        <v>148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132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62" t="s">
        <v>127</v>
      </c>
      <c r="C9" s="62"/>
      <c r="D9" s="34">
        <f>C49</f>
        <v>0</v>
      </c>
      <c r="E9" s="18"/>
    </row>
    <row r="10" spans="2:7" x14ac:dyDescent="0.2">
      <c r="B10" s="62" t="s">
        <v>131</v>
      </c>
      <c r="C10" s="62"/>
      <c r="D10" s="34">
        <f>C71</f>
        <v>0</v>
      </c>
      <c r="E10" s="18"/>
    </row>
    <row r="11" spans="2:7" x14ac:dyDescent="0.2">
      <c r="B11" s="48"/>
      <c r="C11" s="48"/>
      <c r="D11" s="31"/>
      <c r="E11" s="18"/>
    </row>
    <row r="12" spans="2:7" ht="30" customHeight="1" x14ac:dyDescent="0.2">
      <c r="B12" s="63" t="s">
        <v>133</v>
      </c>
      <c r="C12" s="63"/>
      <c r="D12" s="36">
        <f>D9-D10</f>
        <v>0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134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62" t="s">
        <v>128</v>
      </c>
      <c r="C16" s="62"/>
      <c r="D16" s="28">
        <f>D49</f>
        <v>0</v>
      </c>
      <c r="E16" s="18"/>
    </row>
    <row r="17" spans="2:5" x14ac:dyDescent="0.2">
      <c r="B17" s="62" t="s">
        <v>135</v>
      </c>
      <c r="C17" s="62"/>
      <c r="D17" s="28">
        <f>D71</f>
        <v>0</v>
      </c>
      <c r="E17" s="18"/>
    </row>
    <row r="18" spans="2:5" x14ac:dyDescent="0.2">
      <c r="B18" s="48"/>
      <c r="C18" s="48"/>
      <c r="D18" s="28"/>
      <c r="E18" s="18"/>
    </row>
    <row r="19" spans="2:5" ht="30" customHeight="1" x14ac:dyDescent="0.2">
      <c r="B19" s="63" t="s">
        <v>136</v>
      </c>
      <c r="C19" s="63"/>
      <c r="D19" s="36">
        <f>D16-D17</f>
        <v>0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64" t="s">
        <v>137</v>
      </c>
      <c r="C21" s="64"/>
      <c r="D21" s="64"/>
      <c r="E21" s="64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60">
        <f>D17</f>
        <v>0</v>
      </c>
      <c r="C23" s="65"/>
      <c r="D23" s="61"/>
      <c r="E23" s="38" t="str">
        <f>IFERROR(D17/D16,"")</f>
        <v/>
      </c>
    </row>
    <row r="24" spans="2:5" ht="18" x14ac:dyDescent="0.2">
      <c r="B24" s="29"/>
      <c r="D24" s="30"/>
      <c r="E24" s="18"/>
    </row>
    <row r="25" spans="2:5" x14ac:dyDescent="0.2">
      <c r="B25" s="64" t="s">
        <v>138</v>
      </c>
      <c r="C25" s="64"/>
      <c r="D25" s="64"/>
      <c r="E25" s="64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B73</f>
        <v>Jedzenie</v>
      </c>
      <c r="C27" s="60">
        <f>D73</f>
        <v>0</v>
      </c>
      <c r="D27" s="72"/>
      <c r="E27" s="38" t="str">
        <f>IFERROR(D73/C73,"")</f>
        <v/>
      </c>
    </row>
    <row r="28" spans="2:5" ht="18" customHeight="1" x14ac:dyDescent="0.2">
      <c r="B28" s="29" t="str">
        <f>B85</f>
        <v>Mieszkanie / dom</v>
      </c>
      <c r="C28" s="60">
        <f>D85</f>
        <v>0</v>
      </c>
      <c r="D28" s="61"/>
      <c r="E28" s="38" t="str">
        <f>IFERROR(D85/C85,"")</f>
        <v/>
      </c>
    </row>
    <row r="29" spans="2:5" ht="18" customHeight="1" x14ac:dyDescent="0.2">
      <c r="B29" s="29" t="str">
        <f>B97</f>
        <v>Transport</v>
      </c>
      <c r="C29" s="60">
        <f>D97</f>
        <v>0</v>
      </c>
      <c r="D29" s="61"/>
      <c r="E29" s="38" t="str">
        <f>IFERROR(D97/C97,"")</f>
        <v/>
      </c>
    </row>
    <row r="30" spans="2:5" ht="18" customHeight="1" x14ac:dyDescent="0.2">
      <c r="B30" s="29" t="str">
        <f>B109</f>
        <v>Telekomunikacja</v>
      </c>
      <c r="C30" s="60">
        <f>D109</f>
        <v>0</v>
      </c>
      <c r="D30" s="61"/>
      <c r="E30" s="38" t="str">
        <f>IFERROR(D109/C109,"")</f>
        <v/>
      </c>
    </row>
    <row r="31" spans="2:5" ht="18" customHeight="1" x14ac:dyDescent="0.2">
      <c r="B31" s="29" t="str">
        <f>B121</f>
        <v>Opieka zdrowotna</v>
      </c>
      <c r="C31" s="60">
        <f>D121</f>
        <v>0</v>
      </c>
      <c r="D31" s="61"/>
      <c r="E31" s="38" t="str">
        <f>IFERROR(D121/C121,"")</f>
        <v/>
      </c>
    </row>
    <row r="32" spans="2:5" ht="18" customHeight="1" x14ac:dyDescent="0.2">
      <c r="B32" s="29" t="str">
        <f>B133</f>
        <v>Ubranie</v>
      </c>
      <c r="C32" s="60">
        <f>D133</f>
        <v>0</v>
      </c>
      <c r="D32" s="61"/>
      <c r="E32" s="38" t="str">
        <f>IFERROR(D133/C133,"")</f>
        <v/>
      </c>
    </row>
    <row r="33" spans="2:9" ht="18" customHeight="1" x14ac:dyDescent="0.2">
      <c r="B33" s="29" t="str">
        <f>B145</f>
        <v>Higiena</v>
      </c>
      <c r="C33" s="60">
        <f>D145</f>
        <v>0</v>
      </c>
      <c r="D33" s="61"/>
      <c r="E33" s="38" t="str">
        <f>IFERROR(D145/C145,"")</f>
        <v/>
      </c>
    </row>
    <row r="34" spans="2:9" ht="18" customHeight="1" x14ac:dyDescent="0.2">
      <c r="B34" s="29" t="str">
        <f>B157</f>
        <v>Dzieci</v>
      </c>
      <c r="C34" s="60">
        <f>D157</f>
        <v>0</v>
      </c>
      <c r="D34" s="61"/>
      <c r="E34" s="38" t="str">
        <f>IFERROR(D157/C157,"")</f>
        <v/>
      </c>
    </row>
    <row r="35" spans="2:9" ht="18" customHeight="1" x14ac:dyDescent="0.2">
      <c r="B35" s="29" t="str">
        <f>B169</f>
        <v>Rozrywka</v>
      </c>
      <c r="C35" s="60">
        <f>D169</f>
        <v>0</v>
      </c>
      <c r="D35" s="61"/>
      <c r="E35" s="38" t="str">
        <f>IFERROR(D169/C169,"")</f>
        <v/>
      </c>
    </row>
    <row r="36" spans="2:9" ht="18" customHeight="1" x14ac:dyDescent="0.2">
      <c r="B36" s="29" t="str">
        <f>B181</f>
        <v>Inne wydatki</v>
      </c>
      <c r="C36" s="60">
        <f>D181</f>
        <v>0</v>
      </c>
      <c r="D36" s="61"/>
      <c r="E36" s="38" t="str">
        <f>IFERROR(D181/C181,"")</f>
        <v/>
      </c>
    </row>
    <row r="37" spans="2:9" ht="18" customHeight="1" x14ac:dyDescent="0.2">
      <c r="B37" s="29" t="str">
        <f>B193</f>
        <v>Spłata długów</v>
      </c>
      <c r="C37" s="60">
        <f>D193</f>
        <v>0</v>
      </c>
      <c r="D37" s="61"/>
      <c r="E37" s="38" t="str">
        <f>IFERROR(D193/C193,"")</f>
        <v/>
      </c>
    </row>
    <row r="38" spans="2:9" ht="18" customHeight="1" x14ac:dyDescent="0.2">
      <c r="B38" s="29" t="str">
        <f>B205</f>
        <v>Budowanie oszczędności</v>
      </c>
      <c r="C38" s="60">
        <f>D205</f>
        <v>0</v>
      </c>
      <c r="D38" s="61"/>
      <c r="E38" s="38" t="str">
        <f>IFERROR(D205/C205,"")</f>
        <v/>
      </c>
    </row>
    <row r="39" spans="2:9" ht="18" customHeight="1" x14ac:dyDescent="0.2">
      <c r="B39" s="29" t="str">
        <f>B217</f>
        <v>INNE 1</v>
      </c>
      <c r="C39" s="60">
        <f>D217</f>
        <v>0</v>
      </c>
      <c r="D39" s="61"/>
      <c r="E39" s="38" t="str">
        <f>IFERROR(D217/C217,"")</f>
        <v/>
      </c>
    </row>
    <row r="40" spans="2:9" ht="18" customHeight="1" x14ac:dyDescent="0.2">
      <c r="B40" s="29" t="str">
        <f>B229</f>
        <v>INNE 2</v>
      </c>
      <c r="C40" s="60">
        <f>D229</f>
        <v>0</v>
      </c>
      <c r="D40" s="72"/>
      <c r="E40" s="38" t="str">
        <f>IFERROR(D229/C229,"")</f>
        <v/>
      </c>
    </row>
    <row r="41" spans="2:9" ht="18" customHeight="1" x14ac:dyDescent="0.2">
      <c r="B41" s="29" t="str">
        <f>B241</f>
        <v>INNE 3</v>
      </c>
      <c r="C41" s="60">
        <f>D241</f>
        <v>0</v>
      </c>
      <c r="D41" s="72"/>
      <c r="E41" s="38" t="str">
        <f>IFERROR(D241/C241,"")</f>
        <v/>
      </c>
    </row>
    <row r="42" spans="2:9" ht="18" x14ac:dyDescent="0.2">
      <c r="B42" s="29"/>
      <c r="D42" s="30"/>
      <c r="E42" s="18"/>
    </row>
    <row r="43" spans="2:9" x14ac:dyDescent="0.2">
      <c r="B43" s="18"/>
      <c r="C43" s="18"/>
      <c r="D43" s="18"/>
      <c r="E43" s="18"/>
    </row>
    <row r="44" spans="2:9" ht="22" thickBot="1" x14ac:dyDescent="0.3">
      <c r="B44" s="32" t="s">
        <v>42</v>
      </c>
      <c r="C44" s="33"/>
      <c r="D44" s="33"/>
      <c r="E44" s="33"/>
      <c r="F44" s="33"/>
      <c r="G44" s="33"/>
    </row>
    <row r="46" spans="2:9" ht="21" x14ac:dyDescent="0.25">
      <c r="B46" s="44" t="s">
        <v>26</v>
      </c>
      <c r="I46" s="7" t="s">
        <v>43</v>
      </c>
    </row>
    <row r="47" spans="2:9" x14ac:dyDescent="0.2">
      <c r="B47" s="1"/>
    </row>
    <row r="48" spans="2:9" ht="30" x14ac:dyDescent="0.2">
      <c r="B48" s="8" t="s">
        <v>0</v>
      </c>
      <c r="C48" s="9" t="s">
        <v>127</v>
      </c>
      <c r="D48" s="10" t="s">
        <v>128</v>
      </c>
      <c r="E48" s="8" t="s">
        <v>129</v>
      </c>
      <c r="F48" s="9" t="s">
        <v>140</v>
      </c>
      <c r="G48" s="8" t="s">
        <v>41</v>
      </c>
      <c r="I48" s="41" t="s">
        <v>159</v>
      </c>
    </row>
    <row r="49" spans="2:39" ht="26" customHeight="1" x14ac:dyDescent="0.2">
      <c r="B49" s="39" t="s">
        <v>139</v>
      </c>
      <c r="C49" s="40">
        <f>C51</f>
        <v>0</v>
      </c>
      <c r="D49" s="40">
        <f>D51</f>
        <v>0</v>
      </c>
      <c r="E49" s="40">
        <f>D49-C49</f>
        <v>0</v>
      </c>
      <c r="F49" s="8" t="s">
        <v>141</v>
      </c>
      <c r="G49" s="8"/>
      <c r="I49" s="43">
        <f>SUM(I52:I67)</f>
        <v>0</v>
      </c>
      <c r="J49" s="43">
        <f>SUM(J52:J67)</f>
        <v>0</v>
      </c>
      <c r="K49" s="43">
        <f t="shared" ref="K49:AM49" si="0">SUM(K52:K67)</f>
        <v>0</v>
      </c>
      <c r="L49" s="43">
        <f t="shared" si="0"/>
        <v>0</v>
      </c>
      <c r="M49" s="43">
        <f t="shared" si="0"/>
        <v>0</v>
      </c>
      <c r="N49" s="43">
        <f t="shared" si="0"/>
        <v>0</v>
      </c>
      <c r="O49" s="43">
        <f t="shared" si="0"/>
        <v>0</v>
      </c>
      <c r="P49" s="43">
        <f t="shared" si="0"/>
        <v>0</v>
      </c>
      <c r="Q49" s="43">
        <f t="shared" si="0"/>
        <v>0</v>
      </c>
      <c r="R49" s="43">
        <f t="shared" si="0"/>
        <v>0</v>
      </c>
      <c r="S49" s="43">
        <f t="shared" si="0"/>
        <v>0</v>
      </c>
      <c r="T49" s="43">
        <f t="shared" si="0"/>
        <v>0</v>
      </c>
      <c r="U49" s="43">
        <f t="shared" si="0"/>
        <v>0</v>
      </c>
      <c r="V49" s="43">
        <f t="shared" si="0"/>
        <v>0</v>
      </c>
      <c r="W49" s="43">
        <f t="shared" si="0"/>
        <v>0</v>
      </c>
      <c r="X49" s="43">
        <f t="shared" si="0"/>
        <v>0</v>
      </c>
      <c r="Y49" s="43">
        <f t="shared" si="0"/>
        <v>0</v>
      </c>
      <c r="Z49" s="43">
        <f t="shared" si="0"/>
        <v>0</v>
      </c>
      <c r="AA49" s="43">
        <f t="shared" si="0"/>
        <v>0</v>
      </c>
      <c r="AB49" s="43">
        <f t="shared" si="0"/>
        <v>0</v>
      </c>
      <c r="AC49" s="43">
        <f t="shared" si="0"/>
        <v>0</v>
      </c>
      <c r="AD49" s="43">
        <f t="shared" si="0"/>
        <v>0</v>
      </c>
      <c r="AE49" s="43">
        <f t="shared" si="0"/>
        <v>0</v>
      </c>
      <c r="AF49" s="43">
        <f t="shared" si="0"/>
        <v>0</v>
      </c>
      <c r="AG49" s="43">
        <f t="shared" si="0"/>
        <v>0</v>
      </c>
      <c r="AH49" s="43">
        <f t="shared" si="0"/>
        <v>0</v>
      </c>
      <c r="AI49" s="43">
        <f t="shared" si="0"/>
        <v>0</v>
      </c>
      <c r="AJ49" s="43">
        <f t="shared" si="0"/>
        <v>0</v>
      </c>
      <c r="AK49" s="43">
        <f t="shared" si="0"/>
        <v>0</v>
      </c>
      <c r="AL49" s="43">
        <f t="shared" si="0"/>
        <v>0</v>
      </c>
      <c r="AM49" s="43">
        <f t="shared" si="0"/>
        <v>0</v>
      </c>
    </row>
    <row r="50" spans="2:39" x14ac:dyDescent="0.2">
      <c r="B50" s="1"/>
    </row>
    <row r="51" spans="2:39" x14ac:dyDescent="0.2">
      <c r="B51" s="14" t="str">
        <f>'Wzorzec kategorii'!B14</f>
        <v>Całkowite przychody</v>
      </c>
      <c r="C51" s="15">
        <f>SUM(Tabela71867[[#All],[Kolumna2]])</f>
        <v>0</v>
      </c>
      <c r="D51" s="16">
        <f>SUM(Tabela71867[[#All],[Kolumna3]])</f>
        <v>0</v>
      </c>
      <c r="E51" s="15">
        <f>D51-C51</f>
        <v>0</v>
      </c>
      <c r="F51" s="17" t="str">
        <f>IFERROR(D51/C51,"")</f>
        <v/>
      </c>
      <c r="G51" s="15"/>
      <c r="I51" s="11" t="s">
        <v>44</v>
      </c>
      <c r="J51" s="11" t="s">
        <v>45</v>
      </c>
      <c r="K51" s="11" t="s">
        <v>46</v>
      </c>
      <c r="L51" s="11" t="s">
        <v>47</v>
      </c>
      <c r="M51" s="11" t="s">
        <v>48</v>
      </c>
      <c r="N51" s="11" t="s">
        <v>49</v>
      </c>
      <c r="O51" s="11" t="s">
        <v>50</v>
      </c>
      <c r="P51" s="11" t="s">
        <v>51</v>
      </c>
      <c r="Q51" s="11" t="s">
        <v>52</v>
      </c>
      <c r="R51" s="11" t="s">
        <v>53</v>
      </c>
      <c r="S51" s="11" t="s">
        <v>54</v>
      </c>
      <c r="T51" s="11" t="s">
        <v>55</v>
      </c>
      <c r="U51" s="11" t="s">
        <v>56</v>
      </c>
      <c r="V51" s="11" t="s">
        <v>57</v>
      </c>
      <c r="W51" s="11" t="s">
        <v>58</v>
      </c>
      <c r="X51" s="11" t="s">
        <v>59</v>
      </c>
      <c r="Y51" s="11" t="s">
        <v>60</v>
      </c>
      <c r="Z51" s="11" t="s">
        <v>61</v>
      </c>
      <c r="AA51" s="11" t="s">
        <v>62</v>
      </c>
      <c r="AB51" s="11" t="s">
        <v>63</v>
      </c>
      <c r="AC51" s="11" t="s">
        <v>64</v>
      </c>
      <c r="AD51" s="11" t="s">
        <v>65</v>
      </c>
      <c r="AE51" s="11" t="s">
        <v>66</v>
      </c>
      <c r="AF51" s="11" t="s">
        <v>67</v>
      </c>
      <c r="AG51" s="11" t="s">
        <v>68</v>
      </c>
      <c r="AH51" s="11" t="s">
        <v>69</v>
      </c>
      <c r="AI51" s="11" t="s">
        <v>70</v>
      </c>
      <c r="AJ51" s="11" t="s">
        <v>71</v>
      </c>
      <c r="AK51" s="11" t="s">
        <v>72</v>
      </c>
      <c r="AL51" s="11" t="s">
        <v>73</v>
      </c>
      <c r="AM51" s="11" t="s">
        <v>74</v>
      </c>
    </row>
    <row r="52" spans="2:39" x14ac:dyDescent="0.2">
      <c r="B52" s="22" t="str">
        <f>'Wzorzec kategorii'!B15</f>
        <v>Wynagrodzenie</v>
      </c>
      <c r="C52" s="19">
        <v>0</v>
      </c>
      <c r="D52" s="47">
        <f>SUM(Tabela3306496[#This Row])</f>
        <v>0</v>
      </c>
      <c r="E52" s="20">
        <f>Tabela71867[[#This Row],[Kolumna3]]-Tabela71867[[#This Row],[Kolumna2]]</f>
        <v>0</v>
      </c>
      <c r="F52" s="21" t="str">
        <f t="shared" ref="F52:F66" si="1">IFERROR(D52/C52,"")</f>
        <v/>
      </c>
      <c r="G52" s="2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ht="30" x14ac:dyDescent="0.2">
      <c r="B53" s="22" t="str">
        <f>'Wzorzec kategorii'!B16</f>
        <v>Wynagrodzenie Partnera / Partnerki</v>
      </c>
      <c r="C53" s="19">
        <v>0</v>
      </c>
      <c r="D53" s="47">
        <f>SUM(Tabela3306496[#This Row])</f>
        <v>0</v>
      </c>
      <c r="E53" s="20">
        <f>Tabela71867[[#This Row],[Kolumna3]]-Tabela71867[[#This Row],[Kolumna2]]</f>
        <v>0</v>
      </c>
      <c r="F53" s="21" t="str">
        <f t="shared" si="1"/>
        <v/>
      </c>
      <c r="G53" s="2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x14ac:dyDescent="0.2">
      <c r="B54" s="22" t="str">
        <f>'Wzorzec kategorii'!B17</f>
        <v>Premia</v>
      </c>
      <c r="C54" s="19">
        <v>0</v>
      </c>
      <c r="D54" s="47">
        <f>SUM(Tabela3306496[#This Row])</f>
        <v>0</v>
      </c>
      <c r="E54" s="20">
        <f>Tabela71867[[#This Row],[Kolumna3]]-Tabela71867[[#This Row],[Kolumna2]]</f>
        <v>0</v>
      </c>
      <c r="F54" s="21" t="str">
        <f t="shared" si="1"/>
        <v/>
      </c>
      <c r="G54" s="2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x14ac:dyDescent="0.2">
      <c r="B55" s="22" t="str">
        <f>'Wzorzec kategorii'!B18</f>
        <v>Przychody z premii bankowych</v>
      </c>
      <c r="C55" s="19">
        <v>0</v>
      </c>
      <c r="D55" s="47">
        <f>SUM(Tabela3306496[#This Row])</f>
        <v>0</v>
      </c>
      <c r="E55" s="20">
        <f>Tabela71867[[#This Row],[Kolumna3]]-Tabela71867[[#This Row],[Kolumna2]]</f>
        <v>0</v>
      </c>
      <c r="F55" s="21" t="str">
        <f t="shared" si="1"/>
        <v/>
      </c>
      <c r="G55" s="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x14ac:dyDescent="0.2">
      <c r="B56" s="22" t="str">
        <f>'Wzorzec kategorii'!B19</f>
        <v>Odsetki bankowe</v>
      </c>
      <c r="C56" s="19">
        <v>0</v>
      </c>
      <c r="D56" s="47">
        <f>SUM(Tabela3306496[#This Row])</f>
        <v>0</v>
      </c>
      <c r="E56" s="20">
        <f>Tabela71867[[#This Row],[Kolumna3]]-Tabela71867[[#This Row],[Kolumna2]]</f>
        <v>0</v>
      </c>
      <c r="F56" s="21" t="str">
        <f t="shared" si="1"/>
        <v/>
      </c>
      <c r="G56" s="2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2:39" x14ac:dyDescent="0.2">
      <c r="B57" s="22" t="str">
        <f>'Wzorzec kategorii'!B20</f>
        <v>Sprzedaż na Allegro itp.</v>
      </c>
      <c r="C57" s="19">
        <v>0</v>
      </c>
      <c r="D57" s="47">
        <f>SUM(Tabela3306496[#This Row])</f>
        <v>0</v>
      </c>
      <c r="E57" s="20">
        <f>Tabela71867[[#This Row],[Kolumna3]]-Tabela71867[[#This Row],[Kolumna2]]</f>
        <v>0</v>
      </c>
      <c r="F57" s="21" t="str">
        <f t="shared" si="1"/>
        <v/>
      </c>
      <c r="G57" s="2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9" x14ac:dyDescent="0.2">
      <c r="B58" s="22" t="str">
        <f>'Wzorzec kategorii'!B21</f>
        <v>Inne przychody</v>
      </c>
      <c r="C58" s="19">
        <v>0</v>
      </c>
      <c r="D58" s="47">
        <f>SUM(Tabela3306496[#This Row])</f>
        <v>0</v>
      </c>
      <c r="E58" s="20">
        <f>Tabela71867[[#This Row],[Kolumna3]]-Tabela71867[[#This Row],[Kolumna2]]</f>
        <v>0</v>
      </c>
      <c r="F58" s="21" t="str">
        <f t="shared" si="1"/>
        <v/>
      </c>
      <c r="G58" s="2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2:39" x14ac:dyDescent="0.2">
      <c r="B59" s="22" t="str">
        <f>'Wzorzec kategorii'!B22</f>
        <v>.</v>
      </c>
      <c r="C59" s="19">
        <v>0</v>
      </c>
      <c r="D59" s="47">
        <f>SUM(Tabela3306496[#This Row])</f>
        <v>0</v>
      </c>
      <c r="E59" s="20">
        <f>Tabela71867[[#This Row],[Kolumna3]]-Tabela71867[[#This Row],[Kolumna2]]</f>
        <v>0</v>
      </c>
      <c r="F59" s="53" t="str">
        <f t="shared" si="1"/>
        <v/>
      </c>
      <c r="G59" s="2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2:39" x14ac:dyDescent="0.2">
      <c r="B60" s="22" t="str">
        <f>'Wzorzec kategorii'!B23</f>
        <v>.</v>
      </c>
      <c r="C60" s="19">
        <v>0</v>
      </c>
      <c r="D60" s="47">
        <f>SUM(Tabela3306496[#This Row])</f>
        <v>0</v>
      </c>
      <c r="E60" s="20">
        <f>Tabela71867[[#This Row],[Kolumna3]]-Tabela71867[[#This Row],[Kolumna2]]</f>
        <v>0</v>
      </c>
      <c r="F60" s="53" t="str">
        <f t="shared" si="1"/>
        <v/>
      </c>
      <c r="G60" s="2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2:39" x14ac:dyDescent="0.2">
      <c r="B61" s="22" t="str">
        <f>'Wzorzec kategorii'!B24</f>
        <v>.</v>
      </c>
      <c r="C61" s="19">
        <v>0</v>
      </c>
      <c r="D61" s="47">
        <f>SUM(Tabela3306496[#This Row])</f>
        <v>0</v>
      </c>
      <c r="E61" s="20">
        <f>Tabela71867[[#This Row],[Kolumna3]]-Tabela71867[[#This Row],[Kolumna2]]</f>
        <v>0</v>
      </c>
      <c r="F61" s="53" t="str">
        <f t="shared" si="1"/>
        <v/>
      </c>
      <c r="G61" s="2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2:39" x14ac:dyDescent="0.2">
      <c r="B62" s="22" t="str">
        <f>'Wzorzec kategorii'!B25</f>
        <v>.</v>
      </c>
      <c r="C62" s="19">
        <v>0</v>
      </c>
      <c r="D62" s="47">
        <f>SUM(Tabela3306496[#This Row])</f>
        <v>0</v>
      </c>
      <c r="E62" s="20">
        <f>Tabela71867[[#This Row],[Kolumna3]]-Tabela71867[[#This Row],[Kolumna2]]</f>
        <v>0</v>
      </c>
      <c r="F62" s="53" t="str">
        <f t="shared" si="1"/>
        <v/>
      </c>
      <c r="G62" s="2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:39" x14ac:dyDescent="0.2">
      <c r="B63" s="22" t="str">
        <f>'Wzorzec kategorii'!B26</f>
        <v>.</v>
      </c>
      <c r="C63" s="19">
        <v>0</v>
      </c>
      <c r="D63" s="47">
        <f>SUM(Tabela3306496[#This Row])</f>
        <v>0</v>
      </c>
      <c r="E63" s="20">
        <f>Tabela71867[[#This Row],[Kolumna3]]-Tabela71867[[#This Row],[Kolumna2]]</f>
        <v>0</v>
      </c>
      <c r="F63" s="53" t="str">
        <f t="shared" si="1"/>
        <v/>
      </c>
      <c r="G63" s="2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x14ac:dyDescent="0.2">
      <c r="B64" s="22" t="str">
        <f>'Wzorzec kategorii'!B27</f>
        <v>.</v>
      </c>
      <c r="C64" s="19">
        <v>0</v>
      </c>
      <c r="D64" s="47">
        <f>SUM(Tabela3306496[#This Row])</f>
        <v>0</v>
      </c>
      <c r="E64" s="20">
        <f>Tabela71867[[#This Row],[Kolumna3]]-Tabela71867[[#This Row],[Kolumna2]]</f>
        <v>0</v>
      </c>
      <c r="F64" s="53" t="str">
        <f t="shared" si="1"/>
        <v/>
      </c>
      <c r="G64" s="2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:39" x14ac:dyDescent="0.2">
      <c r="B65" s="22" t="str">
        <f>'Wzorzec kategorii'!B28</f>
        <v>.</v>
      </c>
      <c r="C65" s="19">
        <v>0</v>
      </c>
      <c r="D65" s="47">
        <f>SUM(Tabela3306496[#This Row])</f>
        <v>0</v>
      </c>
      <c r="E65" s="20">
        <f>Tabela71867[[#This Row],[Kolumna3]]-Tabela71867[[#This Row],[Kolumna2]]</f>
        <v>0</v>
      </c>
      <c r="F65" s="53" t="str">
        <f t="shared" si="1"/>
        <v/>
      </c>
      <c r="G65" s="2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39" x14ac:dyDescent="0.2">
      <c r="B66" s="22" t="str">
        <f>'Wzorzec kategorii'!B29</f>
        <v>.</v>
      </c>
      <c r="C66" s="19">
        <v>0</v>
      </c>
      <c r="D66" s="47">
        <f>SUM(Tabela3306496[#This Row])</f>
        <v>0</v>
      </c>
      <c r="E66" s="20">
        <f>Tabela71867[[#This Row],[Kolumna3]]-Tabela71867[[#This Row],[Kolumna2]]</f>
        <v>0</v>
      </c>
      <c r="F66" s="53" t="str">
        <f t="shared" si="1"/>
        <v/>
      </c>
      <c r="G66" s="2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:39" x14ac:dyDescent="0.2">
      <c r="B67" s="5" t="s">
        <v>30</v>
      </c>
    </row>
    <row r="68" spans="2:39" ht="21" x14ac:dyDescent="0.25">
      <c r="B68" s="44" t="s">
        <v>25</v>
      </c>
      <c r="I68" s="7" t="s">
        <v>43</v>
      </c>
    </row>
    <row r="70" spans="2:39" ht="30" x14ac:dyDescent="0.2">
      <c r="B70" s="8" t="s">
        <v>0</v>
      </c>
      <c r="C70" s="9" t="s">
        <v>131</v>
      </c>
      <c r="D70" s="10" t="s">
        <v>135</v>
      </c>
      <c r="E70" s="8" t="s">
        <v>129</v>
      </c>
      <c r="F70" s="9" t="s">
        <v>140</v>
      </c>
      <c r="G70" s="8" t="s">
        <v>41</v>
      </c>
      <c r="I70" s="41" t="s">
        <v>142</v>
      </c>
    </row>
    <row r="71" spans="2:39" ht="24" customHeight="1" x14ac:dyDescent="0.2">
      <c r="B71" s="39" t="s">
        <v>139</v>
      </c>
      <c r="C71" s="40">
        <f>C73+C85+C97+C109+C121+C133+C145+C157+C169+C181+C193+C205+C217+C229+C241</f>
        <v>0</v>
      </c>
      <c r="D71" s="40">
        <f>D73+D85+D97+D109+D121+D133+D145+D157+D169+D181+D193+D205+D217+D229+D241</f>
        <v>0</v>
      </c>
      <c r="E71" s="40">
        <f>C71-D71</f>
        <v>0</v>
      </c>
      <c r="F71" s="8" t="s">
        <v>141</v>
      </c>
      <c r="G71" s="8"/>
      <c r="I71" s="43">
        <f>SUM(I73:I251)</f>
        <v>0</v>
      </c>
      <c r="J71" s="43">
        <f>SUM(J73:J251)</f>
        <v>0</v>
      </c>
      <c r="K71" s="43">
        <f t="shared" ref="K71:AM71" si="2">SUM(K73:K251)</f>
        <v>0</v>
      </c>
      <c r="L71" s="43">
        <f t="shared" si="2"/>
        <v>0</v>
      </c>
      <c r="M71" s="43">
        <f t="shared" si="2"/>
        <v>0</v>
      </c>
      <c r="N71" s="43">
        <f t="shared" si="2"/>
        <v>0</v>
      </c>
      <c r="O71" s="43">
        <f t="shared" si="2"/>
        <v>0</v>
      </c>
      <c r="P71" s="43">
        <f t="shared" si="2"/>
        <v>0</v>
      </c>
      <c r="Q71" s="43">
        <f t="shared" si="2"/>
        <v>0</v>
      </c>
      <c r="R71" s="43">
        <f t="shared" si="2"/>
        <v>0</v>
      </c>
      <c r="S71" s="43">
        <f t="shared" si="2"/>
        <v>0</v>
      </c>
      <c r="T71" s="43">
        <f t="shared" si="2"/>
        <v>0</v>
      </c>
      <c r="U71" s="43">
        <f t="shared" si="2"/>
        <v>0</v>
      </c>
      <c r="V71" s="43">
        <f t="shared" si="2"/>
        <v>0</v>
      </c>
      <c r="W71" s="43">
        <f t="shared" si="2"/>
        <v>0</v>
      </c>
      <c r="X71" s="43">
        <f t="shared" si="2"/>
        <v>0</v>
      </c>
      <c r="Y71" s="43">
        <f t="shared" si="2"/>
        <v>0</v>
      </c>
      <c r="Z71" s="43">
        <f t="shared" si="2"/>
        <v>0</v>
      </c>
      <c r="AA71" s="43">
        <f t="shared" si="2"/>
        <v>0</v>
      </c>
      <c r="AB71" s="43">
        <f t="shared" si="2"/>
        <v>0</v>
      </c>
      <c r="AC71" s="43">
        <f t="shared" si="2"/>
        <v>0</v>
      </c>
      <c r="AD71" s="43">
        <f t="shared" si="2"/>
        <v>0</v>
      </c>
      <c r="AE71" s="43">
        <f t="shared" si="2"/>
        <v>0</v>
      </c>
      <c r="AF71" s="43">
        <f t="shared" si="2"/>
        <v>0</v>
      </c>
      <c r="AG71" s="43">
        <f t="shared" si="2"/>
        <v>0</v>
      </c>
      <c r="AH71" s="43">
        <f t="shared" si="2"/>
        <v>0</v>
      </c>
      <c r="AI71" s="43">
        <f t="shared" si="2"/>
        <v>0</v>
      </c>
      <c r="AJ71" s="43">
        <f t="shared" si="2"/>
        <v>0</v>
      </c>
      <c r="AK71" s="43">
        <f t="shared" si="2"/>
        <v>0</v>
      </c>
      <c r="AL71" s="43">
        <f t="shared" si="2"/>
        <v>0</v>
      </c>
      <c r="AM71" s="43">
        <f t="shared" si="2"/>
        <v>0</v>
      </c>
    </row>
    <row r="73" spans="2:39" x14ac:dyDescent="0.2">
      <c r="B73" s="14" t="str">
        <f>'Wzorzec kategorii'!B35</f>
        <v>Jedzenie</v>
      </c>
      <c r="C73" s="15">
        <f>SUM(Jedzenie265[[#All],[0]])</f>
        <v>0</v>
      </c>
      <c r="D73" s="16">
        <f>SUM(Jedzenie265[[#All],[02]])</f>
        <v>0</v>
      </c>
      <c r="E73" s="15">
        <f t="shared" ref="E73:E83" si="3">C73-D73</f>
        <v>0</v>
      </c>
      <c r="F73" s="17" t="str">
        <f t="shared" ref="F73:F83" si="4">IFERROR(D73/C73,"")</f>
        <v/>
      </c>
      <c r="G73" s="23"/>
      <c r="I73" s="11" t="s">
        <v>44</v>
      </c>
      <c r="J73" s="11" t="s">
        <v>45</v>
      </c>
      <c r="K73" s="11" t="s">
        <v>46</v>
      </c>
      <c r="L73" s="11" t="s">
        <v>47</v>
      </c>
      <c r="M73" s="11" t="s">
        <v>48</v>
      </c>
      <c r="N73" s="11" t="s">
        <v>49</v>
      </c>
      <c r="O73" s="11" t="s">
        <v>50</v>
      </c>
      <c r="P73" s="11" t="s">
        <v>51</v>
      </c>
      <c r="Q73" s="11" t="s">
        <v>52</v>
      </c>
      <c r="R73" s="11" t="s">
        <v>53</v>
      </c>
      <c r="S73" s="11" t="s">
        <v>54</v>
      </c>
      <c r="T73" s="11" t="s">
        <v>55</v>
      </c>
      <c r="U73" s="11" t="s">
        <v>56</v>
      </c>
      <c r="V73" s="11" t="s">
        <v>57</v>
      </c>
      <c r="W73" s="11" t="s">
        <v>58</v>
      </c>
      <c r="X73" s="11" t="s">
        <v>59</v>
      </c>
      <c r="Y73" s="11" t="s">
        <v>60</v>
      </c>
      <c r="Z73" s="11" t="s">
        <v>61</v>
      </c>
      <c r="AA73" s="11" t="s">
        <v>62</v>
      </c>
      <c r="AB73" s="11" t="s">
        <v>63</v>
      </c>
      <c r="AC73" s="11" t="s">
        <v>64</v>
      </c>
      <c r="AD73" s="11" t="s">
        <v>65</v>
      </c>
      <c r="AE73" s="11" t="s">
        <v>66</v>
      </c>
      <c r="AF73" s="11" t="s">
        <v>67</v>
      </c>
      <c r="AG73" s="11" t="s">
        <v>68</v>
      </c>
      <c r="AH73" s="11" t="s">
        <v>69</v>
      </c>
      <c r="AI73" s="11" t="s">
        <v>70</v>
      </c>
      <c r="AJ73" s="11" t="s">
        <v>71</v>
      </c>
      <c r="AK73" s="11" t="s">
        <v>72</v>
      </c>
      <c r="AL73" s="11" t="s">
        <v>73</v>
      </c>
      <c r="AM73" s="11" t="s">
        <v>74</v>
      </c>
    </row>
    <row r="74" spans="2:39" x14ac:dyDescent="0.2">
      <c r="B74" s="22" t="str">
        <f>'Wzorzec kategorii'!B36</f>
        <v>Jedzenie dom</v>
      </c>
      <c r="C74" s="19">
        <v>0</v>
      </c>
      <c r="D74" s="20">
        <f>SUM(Tabela33068[#This Row])</f>
        <v>0</v>
      </c>
      <c r="E74" s="20">
        <f t="shared" si="3"/>
        <v>0</v>
      </c>
      <c r="F74" s="21" t="str">
        <f t="shared" si="4"/>
        <v/>
      </c>
      <c r="G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2:39" x14ac:dyDescent="0.2">
      <c r="B75" s="22" t="str">
        <f>'Wzorzec kategorii'!B37</f>
        <v>Jedzenie miasto</v>
      </c>
      <c r="C75" s="19">
        <v>0</v>
      </c>
      <c r="D75" s="20">
        <f>SUM(Tabela33068[#This Row])</f>
        <v>0</v>
      </c>
      <c r="E75" s="20">
        <f t="shared" si="3"/>
        <v>0</v>
      </c>
      <c r="F75" s="21" t="str">
        <f t="shared" si="4"/>
        <v/>
      </c>
      <c r="G75" s="2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:39" x14ac:dyDescent="0.2">
      <c r="B76" s="22" t="str">
        <f>'Wzorzec kategorii'!B38</f>
        <v>Jedzenie praca</v>
      </c>
      <c r="C76" s="19">
        <v>0</v>
      </c>
      <c r="D76" s="20">
        <f>SUM(Tabela33068[#This Row])</f>
        <v>0</v>
      </c>
      <c r="E76" s="20">
        <f t="shared" si="3"/>
        <v>0</v>
      </c>
      <c r="F76" s="21" t="str">
        <f t="shared" si="4"/>
        <v/>
      </c>
      <c r="G76" s="2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2:39" x14ac:dyDescent="0.2">
      <c r="B77" s="22" t="str">
        <f>'Wzorzec kategorii'!B39</f>
        <v>Alkohol</v>
      </c>
      <c r="C77" s="19">
        <v>0</v>
      </c>
      <c r="D77" s="20">
        <f>SUM(Tabela33068[#This Row])</f>
        <v>0</v>
      </c>
      <c r="E77" s="20">
        <f t="shared" si="3"/>
        <v>0</v>
      </c>
      <c r="F77" s="21" t="str">
        <f t="shared" si="4"/>
        <v/>
      </c>
      <c r="G77" s="2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2:39" x14ac:dyDescent="0.2">
      <c r="B78" s="22" t="str">
        <f>'Wzorzec kategorii'!B40</f>
        <v>Inne</v>
      </c>
      <c r="C78" s="19">
        <v>0</v>
      </c>
      <c r="D78" s="20">
        <f>SUM(Tabela33068[#This Row])</f>
        <v>0</v>
      </c>
      <c r="E78" s="20">
        <f t="shared" si="3"/>
        <v>0</v>
      </c>
      <c r="F78" s="21" t="str">
        <f t="shared" si="4"/>
        <v/>
      </c>
      <c r="G78" s="2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:39" x14ac:dyDescent="0.2">
      <c r="B79" s="22" t="str">
        <f>'Wzorzec kategorii'!B41</f>
        <v>.</v>
      </c>
      <c r="C79" s="19">
        <v>0</v>
      </c>
      <c r="D79" s="20">
        <f>SUM(Tabela33068[#This Row])</f>
        <v>0</v>
      </c>
      <c r="E79" s="20">
        <f t="shared" si="3"/>
        <v>0</v>
      </c>
      <c r="F79" s="53" t="str">
        <f t="shared" si="4"/>
        <v/>
      </c>
      <c r="G79" s="5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:39" x14ac:dyDescent="0.2">
      <c r="B80" s="22" t="str">
        <f>'Wzorzec kategorii'!B42</f>
        <v>.</v>
      </c>
      <c r="C80" s="19">
        <v>0</v>
      </c>
      <c r="D80" s="20">
        <f>SUM(Tabela33068[#This Row])</f>
        <v>0</v>
      </c>
      <c r="E80" s="20">
        <f t="shared" si="3"/>
        <v>0</v>
      </c>
      <c r="F80" s="53" t="str">
        <f t="shared" si="4"/>
        <v/>
      </c>
      <c r="G80" s="5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2:41" x14ac:dyDescent="0.2">
      <c r="B81" s="22" t="str">
        <f>'Wzorzec kategorii'!B43</f>
        <v>.</v>
      </c>
      <c r="C81" s="19">
        <v>0</v>
      </c>
      <c r="D81" s="20">
        <f>SUM(Tabela33068[#This Row])</f>
        <v>0</v>
      </c>
      <c r="E81" s="20">
        <f t="shared" si="3"/>
        <v>0</v>
      </c>
      <c r="F81" s="53" t="str">
        <f t="shared" si="4"/>
        <v/>
      </c>
      <c r="G81" s="5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2:41" x14ac:dyDescent="0.2">
      <c r="B82" s="22" t="str">
        <f>'Wzorzec kategorii'!B44</f>
        <v>.</v>
      </c>
      <c r="C82" s="19">
        <v>0</v>
      </c>
      <c r="D82" s="20">
        <f>SUM(Tabela33068[#This Row])</f>
        <v>0</v>
      </c>
      <c r="E82" s="20">
        <f t="shared" si="3"/>
        <v>0</v>
      </c>
      <c r="F82" s="53" t="str">
        <f t="shared" si="4"/>
        <v/>
      </c>
      <c r="G82" s="5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2:41" x14ac:dyDescent="0.2">
      <c r="B83" s="22" t="str">
        <f>'Wzorzec kategorii'!B45</f>
        <v>.</v>
      </c>
      <c r="C83" s="19">
        <v>0</v>
      </c>
      <c r="D83" s="20">
        <f>SUM(Tabela33068[#This Row])</f>
        <v>0</v>
      </c>
      <c r="E83" s="20">
        <f t="shared" si="3"/>
        <v>0</v>
      </c>
      <c r="F83" s="53" t="str">
        <f t="shared" si="4"/>
        <v/>
      </c>
      <c r="G83" s="5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2:41" x14ac:dyDescent="0.2">
      <c r="B84" s="5" t="s">
        <v>30</v>
      </c>
      <c r="C84" s="6"/>
      <c r="D84" s="4"/>
      <c r="E84" s="4"/>
      <c r="F84" s="4"/>
      <c r="G84" s="4"/>
      <c r="I84" s="5" t="s">
        <v>30</v>
      </c>
    </row>
    <row r="85" spans="2:41" x14ac:dyDescent="0.2">
      <c r="B85" s="14" t="str">
        <f>'Wzorzec kategorii'!B47</f>
        <v>Mieszkanie / dom</v>
      </c>
      <c r="C85" s="15">
        <f>SUM(Tabela43169[[#All],[Kolumna2]])</f>
        <v>0</v>
      </c>
      <c r="D85" s="16">
        <f>SUM(Tabela43169[[#All],[Kolumna3]])</f>
        <v>0</v>
      </c>
      <c r="E85" s="15">
        <f>C85-D85</f>
        <v>0</v>
      </c>
      <c r="F85" s="17" t="str">
        <f>IFERROR(D85/C85,"")</f>
        <v/>
      </c>
      <c r="G85" s="23"/>
      <c r="I85" s="11" t="s">
        <v>44</v>
      </c>
      <c r="J85" s="11" t="s">
        <v>45</v>
      </c>
      <c r="K85" s="11" t="s">
        <v>46</v>
      </c>
      <c r="L85" s="11" t="s">
        <v>47</v>
      </c>
      <c r="M85" s="11" t="s">
        <v>48</v>
      </c>
      <c r="N85" s="11" t="s">
        <v>49</v>
      </c>
      <c r="O85" s="11" t="s">
        <v>50</v>
      </c>
      <c r="P85" s="11" t="s">
        <v>51</v>
      </c>
      <c r="Q85" s="11" t="s">
        <v>52</v>
      </c>
      <c r="R85" s="11" t="s">
        <v>53</v>
      </c>
      <c r="S85" s="11" t="s">
        <v>54</v>
      </c>
      <c r="T85" s="11" t="s">
        <v>55</v>
      </c>
      <c r="U85" s="11" t="s">
        <v>56</v>
      </c>
      <c r="V85" s="11" t="s">
        <v>57</v>
      </c>
      <c r="W85" s="11" t="s">
        <v>58</v>
      </c>
      <c r="X85" s="11" t="s">
        <v>59</v>
      </c>
      <c r="Y85" s="11" t="s">
        <v>60</v>
      </c>
      <c r="Z85" s="11" t="s">
        <v>61</v>
      </c>
      <c r="AA85" s="11" t="s">
        <v>62</v>
      </c>
      <c r="AB85" s="11" t="s">
        <v>63</v>
      </c>
      <c r="AC85" s="11" t="s">
        <v>64</v>
      </c>
      <c r="AD85" s="11" t="s">
        <v>65</v>
      </c>
      <c r="AE85" s="11" t="s">
        <v>66</v>
      </c>
      <c r="AF85" s="11" t="s">
        <v>67</v>
      </c>
      <c r="AG85" s="11" t="s">
        <v>68</v>
      </c>
      <c r="AH85" s="11" t="s">
        <v>69</v>
      </c>
      <c r="AI85" s="11" t="s">
        <v>70</v>
      </c>
      <c r="AJ85" s="11" t="s">
        <v>71</v>
      </c>
      <c r="AK85" s="11" t="s">
        <v>72</v>
      </c>
      <c r="AL85" s="11" t="s">
        <v>73</v>
      </c>
      <c r="AM85" s="11" t="s">
        <v>74</v>
      </c>
      <c r="AN85" s="25"/>
      <c r="AO85" s="25"/>
    </row>
    <row r="86" spans="2:41" x14ac:dyDescent="0.2">
      <c r="B86" s="22" t="str">
        <f>'Wzorzec kategorii'!B48</f>
        <v>Czynsz</v>
      </c>
      <c r="C86" s="19">
        <v>0</v>
      </c>
      <c r="D86" s="20">
        <f>SUM(Tabela184179[#This Row])</f>
        <v>0</v>
      </c>
      <c r="E86" s="20">
        <f t="shared" ref="E86:E95" si="5">C86-D86</f>
        <v>0</v>
      </c>
      <c r="F86" s="21" t="str">
        <f t="shared" ref="F86:F95" si="6">IFERROR(D86/C86,"")</f>
        <v/>
      </c>
      <c r="G86" s="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25"/>
      <c r="AO86" s="25"/>
    </row>
    <row r="87" spans="2:41" x14ac:dyDescent="0.2">
      <c r="B87" s="22" t="str">
        <f>'Wzorzec kategorii'!B49</f>
        <v>Woda i kanalizacja</v>
      </c>
      <c r="C87" s="19">
        <v>0</v>
      </c>
      <c r="D87" s="20">
        <f>SUM(Tabela184179[#This Row])</f>
        <v>0</v>
      </c>
      <c r="E87" s="20">
        <f t="shared" si="5"/>
        <v>0</v>
      </c>
      <c r="F87" s="21" t="str">
        <f t="shared" si="6"/>
        <v/>
      </c>
      <c r="G87" s="2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25"/>
      <c r="AO87" s="25"/>
    </row>
    <row r="88" spans="2:41" x14ac:dyDescent="0.2">
      <c r="B88" s="22" t="str">
        <f>'Wzorzec kategorii'!B50</f>
        <v>Prąd</v>
      </c>
      <c r="C88" s="19">
        <v>0</v>
      </c>
      <c r="D88" s="20">
        <f>SUM(Tabela184179[#This Row])</f>
        <v>0</v>
      </c>
      <c r="E88" s="20">
        <f t="shared" si="5"/>
        <v>0</v>
      </c>
      <c r="F88" s="21" t="str">
        <f t="shared" si="6"/>
        <v/>
      </c>
      <c r="G88" s="2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25"/>
      <c r="AO88" s="25"/>
    </row>
    <row r="89" spans="2:41" x14ac:dyDescent="0.2">
      <c r="B89" s="22" t="str">
        <f>'Wzorzec kategorii'!B51</f>
        <v>Gaz</v>
      </c>
      <c r="C89" s="19">
        <v>0</v>
      </c>
      <c r="D89" s="20">
        <f>SUM(Tabela184179[#This Row])</f>
        <v>0</v>
      </c>
      <c r="E89" s="20">
        <f t="shared" si="5"/>
        <v>0</v>
      </c>
      <c r="F89" s="21" t="str">
        <f t="shared" si="6"/>
        <v/>
      </c>
      <c r="G89" s="2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25"/>
      <c r="AO89" s="25"/>
    </row>
    <row r="90" spans="2:41" x14ac:dyDescent="0.2">
      <c r="B90" s="22" t="str">
        <f>'Wzorzec kategorii'!B52</f>
        <v>Ogrzewanie</v>
      </c>
      <c r="C90" s="19">
        <v>0</v>
      </c>
      <c r="D90" s="20">
        <f>SUM(Tabela184179[#This Row])</f>
        <v>0</v>
      </c>
      <c r="E90" s="20">
        <f t="shared" si="5"/>
        <v>0</v>
      </c>
      <c r="F90" s="21" t="str">
        <f t="shared" si="6"/>
        <v/>
      </c>
      <c r="G90" s="24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25"/>
      <c r="AO90" s="25"/>
    </row>
    <row r="91" spans="2:41" x14ac:dyDescent="0.2">
      <c r="B91" s="22" t="str">
        <f>'Wzorzec kategorii'!B53</f>
        <v>Wywóz śmieci</v>
      </c>
      <c r="C91" s="19">
        <v>0</v>
      </c>
      <c r="D91" s="20">
        <f>SUM(Tabela184179[#This Row])</f>
        <v>0</v>
      </c>
      <c r="E91" s="20">
        <f t="shared" si="5"/>
        <v>0</v>
      </c>
      <c r="F91" s="21" t="str">
        <f t="shared" si="6"/>
        <v/>
      </c>
      <c r="G91" s="24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25"/>
      <c r="AO91" s="25"/>
    </row>
    <row r="92" spans="2:41" x14ac:dyDescent="0.2">
      <c r="B92" s="22" t="str">
        <f>'Wzorzec kategorii'!B54</f>
        <v>Konserwacja i naprawy</v>
      </c>
      <c r="C92" s="19">
        <v>0</v>
      </c>
      <c r="D92" s="20">
        <f>SUM(Tabela184179[#This Row])</f>
        <v>0</v>
      </c>
      <c r="E92" s="20">
        <f t="shared" si="5"/>
        <v>0</v>
      </c>
      <c r="F92" s="21" t="str">
        <f t="shared" si="6"/>
        <v/>
      </c>
      <c r="G92" s="2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25"/>
      <c r="AO92" s="25"/>
    </row>
    <row r="93" spans="2:41" x14ac:dyDescent="0.2">
      <c r="B93" s="22" t="str">
        <f>'Wzorzec kategorii'!B55</f>
        <v>Wyposażenie</v>
      </c>
      <c r="C93" s="19">
        <v>0</v>
      </c>
      <c r="D93" s="20">
        <f>SUM(Tabela184179[#This Row])</f>
        <v>0</v>
      </c>
      <c r="E93" s="20">
        <f t="shared" si="5"/>
        <v>0</v>
      </c>
      <c r="F93" s="21" t="str">
        <f t="shared" si="6"/>
        <v/>
      </c>
      <c r="G93" s="2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25"/>
      <c r="AO93" s="25"/>
    </row>
    <row r="94" spans="2:41" x14ac:dyDescent="0.2">
      <c r="B94" s="22" t="str">
        <f>'Wzorzec kategorii'!B56</f>
        <v>Ubezpieczenie nieruchomości</v>
      </c>
      <c r="C94" s="19">
        <v>0</v>
      </c>
      <c r="D94" s="20">
        <f>SUM(Tabela184179[#This Row])</f>
        <v>0</v>
      </c>
      <c r="E94" s="20">
        <f t="shared" si="5"/>
        <v>0</v>
      </c>
      <c r="F94" s="21" t="str">
        <f t="shared" si="6"/>
        <v/>
      </c>
      <c r="G94" s="2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25"/>
      <c r="AO94" s="25"/>
    </row>
    <row r="95" spans="2:41" x14ac:dyDescent="0.2">
      <c r="B95" s="22" t="str">
        <f>'Wzorzec kategorii'!B57</f>
        <v>Inne</v>
      </c>
      <c r="C95" s="19">
        <v>0</v>
      </c>
      <c r="D95" s="20">
        <f>SUM(Tabela184179[#This Row])</f>
        <v>0</v>
      </c>
      <c r="E95" s="20">
        <f t="shared" si="5"/>
        <v>0</v>
      </c>
      <c r="F95" s="21" t="str">
        <f t="shared" si="6"/>
        <v/>
      </c>
      <c r="G95" s="2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25"/>
      <c r="AO95" s="25"/>
    </row>
    <row r="96" spans="2:41" x14ac:dyDescent="0.2">
      <c r="B96" s="5" t="s">
        <v>30</v>
      </c>
      <c r="C96" s="6"/>
      <c r="D96" s="4"/>
      <c r="E96" s="4"/>
      <c r="F96" s="4"/>
      <c r="G96" s="4"/>
      <c r="I96" s="26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</row>
    <row r="97" spans="2:41" x14ac:dyDescent="0.2">
      <c r="B97" s="2" t="str">
        <f>'Wzorzec kategorii'!B59</f>
        <v>Transport</v>
      </c>
      <c r="C97" s="3">
        <f>SUM(Transport366[[#All],[Kolumna2]])</f>
        <v>0</v>
      </c>
      <c r="D97" s="16">
        <f>SUM(Transport366[[#All],[Kolumna3]])</f>
        <v>0</v>
      </c>
      <c r="E97" s="3">
        <f>C97-D97</f>
        <v>0</v>
      </c>
      <c r="F97" s="17" t="str">
        <f>IFERROR(D97/C97,"")</f>
        <v/>
      </c>
      <c r="G97" s="3"/>
      <c r="I97" s="11" t="s">
        <v>44</v>
      </c>
      <c r="J97" s="11" t="s">
        <v>45</v>
      </c>
      <c r="K97" s="11" t="s">
        <v>46</v>
      </c>
      <c r="L97" s="11" t="s">
        <v>47</v>
      </c>
      <c r="M97" s="11" t="s">
        <v>48</v>
      </c>
      <c r="N97" s="11" t="s">
        <v>49</v>
      </c>
      <c r="O97" s="11" t="s">
        <v>50</v>
      </c>
      <c r="P97" s="11" t="s">
        <v>51</v>
      </c>
      <c r="Q97" s="11" t="s">
        <v>52</v>
      </c>
      <c r="R97" s="11" t="s">
        <v>53</v>
      </c>
      <c r="S97" s="11" t="s">
        <v>54</v>
      </c>
      <c r="T97" s="11" t="s">
        <v>55</v>
      </c>
      <c r="U97" s="11" t="s">
        <v>56</v>
      </c>
      <c r="V97" s="11" t="s">
        <v>57</v>
      </c>
      <c r="W97" s="11" t="s">
        <v>58</v>
      </c>
      <c r="X97" s="11" t="s">
        <v>59</v>
      </c>
      <c r="Y97" s="11" t="s">
        <v>60</v>
      </c>
      <c r="Z97" s="11" t="s">
        <v>61</v>
      </c>
      <c r="AA97" s="11" t="s">
        <v>62</v>
      </c>
      <c r="AB97" s="11" t="s">
        <v>63</v>
      </c>
      <c r="AC97" s="11" t="s">
        <v>64</v>
      </c>
      <c r="AD97" s="11" t="s">
        <v>65</v>
      </c>
      <c r="AE97" s="11" t="s">
        <v>66</v>
      </c>
      <c r="AF97" s="11" t="s">
        <v>67</v>
      </c>
      <c r="AG97" s="11" t="s">
        <v>68</v>
      </c>
      <c r="AH97" s="11" t="s">
        <v>69</v>
      </c>
      <c r="AI97" s="11" t="s">
        <v>70</v>
      </c>
      <c r="AJ97" s="11" t="s">
        <v>71</v>
      </c>
      <c r="AK97" s="11" t="s">
        <v>72</v>
      </c>
      <c r="AL97" s="11" t="s">
        <v>73</v>
      </c>
      <c r="AM97" s="11" t="s">
        <v>74</v>
      </c>
      <c r="AN97" s="25"/>
      <c r="AO97" s="25"/>
    </row>
    <row r="98" spans="2:41" x14ac:dyDescent="0.2">
      <c r="B98" s="22" t="str">
        <f>'Wzorzec kategorii'!B60</f>
        <v>Paliwo do auta</v>
      </c>
      <c r="C98" s="19">
        <v>0</v>
      </c>
      <c r="D98" s="20">
        <f>SUM(Tabela194280[#This Row])</f>
        <v>0</v>
      </c>
      <c r="E98" s="20">
        <f t="shared" ref="E98:E107" si="7">C98-D98</f>
        <v>0</v>
      </c>
      <c r="F98" s="21" t="str">
        <f t="shared" ref="F98:F107" si="8">IFERROR(D98/C98,"")</f>
        <v/>
      </c>
      <c r="G98" s="24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25"/>
      <c r="AO98" s="25"/>
    </row>
    <row r="99" spans="2:41" x14ac:dyDescent="0.2">
      <c r="B99" s="22" t="str">
        <f>'Wzorzec kategorii'!B61</f>
        <v>Przeglądy i naprawy auta</v>
      </c>
      <c r="C99" s="19">
        <v>0</v>
      </c>
      <c r="D99" s="20">
        <f>SUM(Tabela194280[#This Row])</f>
        <v>0</v>
      </c>
      <c r="E99" s="20">
        <f t="shared" si="7"/>
        <v>0</v>
      </c>
      <c r="F99" s="21" t="str">
        <f t="shared" si="8"/>
        <v/>
      </c>
      <c r="G99" s="2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25"/>
      <c r="AO99" s="25"/>
    </row>
    <row r="100" spans="2:41" ht="30" x14ac:dyDescent="0.2">
      <c r="B100" s="22" t="str">
        <f>'Wzorzec kategorii'!B62</f>
        <v>Wyposażenie dodatkowe (opony)</v>
      </c>
      <c r="C100" s="19">
        <v>0</v>
      </c>
      <c r="D100" s="20">
        <f>SUM(Tabela194280[#This Row])</f>
        <v>0</v>
      </c>
      <c r="E100" s="20">
        <f t="shared" si="7"/>
        <v>0</v>
      </c>
      <c r="F100" s="21" t="str">
        <f t="shared" si="8"/>
        <v/>
      </c>
      <c r="G100" s="2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25"/>
      <c r="AO100" s="25"/>
    </row>
    <row r="101" spans="2:41" x14ac:dyDescent="0.2">
      <c r="B101" s="22" t="str">
        <f>'Wzorzec kategorii'!B63</f>
        <v>Ubezpieczenie auta</v>
      </c>
      <c r="C101" s="19">
        <v>0</v>
      </c>
      <c r="D101" s="20">
        <f>SUM(Tabela194280[#This Row])</f>
        <v>0</v>
      </c>
      <c r="E101" s="20">
        <f t="shared" si="7"/>
        <v>0</v>
      </c>
      <c r="F101" s="21" t="str">
        <f t="shared" si="8"/>
        <v/>
      </c>
      <c r="G101" s="2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25"/>
      <c r="AO101" s="25"/>
    </row>
    <row r="102" spans="2:41" x14ac:dyDescent="0.2">
      <c r="B102" s="22" t="str">
        <f>'Wzorzec kategorii'!B64</f>
        <v>Bilet komunikacji miejskiej</v>
      </c>
      <c r="C102" s="19">
        <v>0</v>
      </c>
      <c r="D102" s="20">
        <f>SUM(Tabela194280[#This Row])</f>
        <v>0</v>
      </c>
      <c r="E102" s="20">
        <f t="shared" si="7"/>
        <v>0</v>
      </c>
      <c r="F102" s="21" t="str">
        <f t="shared" si="8"/>
        <v/>
      </c>
      <c r="G102" s="2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25"/>
      <c r="AO102" s="25"/>
    </row>
    <row r="103" spans="2:41" x14ac:dyDescent="0.2">
      <c r="B103" s="22" t="str">
        <f>'Wzorzec kategorii'!B65</f>
        <v>Bilet PKP, PKS</v>
      </c>
      <c r="C103" s="19">
        <v>0</v>
      </c>
      <c r="D103" s="20">
        <f>SUM(Tabela194280[#This Row])</f>
        <v>0</v>
      </c>
      <c r="E103" s="20">
        <f t="shared" si="7"/>
        <v>0</v>
      </c>
      <c r="F103" s="21" t="str">
        <f t="shared" si="8"/>
        <v/>
      </c>
      <c r="G103" s="24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25"/>
      <c r="AO103" s="25"/>
    </row>
    <row r="104" spans="2:41" x14ac:dyDescent="0.2">
      <c r="B104" s="22" t="str">
        <f>'Wzorzec kategorii'!B66</f>
        <v>Taxi</v>
      </c>
      <c r="C104" s="19">
        <v>0</v>
      </c>
      <c r="D104" s="20">
        <f>SUM(Tabela194280[#This Row])</f>
        <v>0</v>
      </c>
      <c r="E104" s="20">
        <f t="shared" si="7"/>
        <v>0</v>
      </c>
      <c r="F104" s="21" t="str">
        <f t="shared" si="8"/>
        <v/>
      </c>
      <c r="G104" s="24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25"/>
      <c r="AO104" s="25"/>
    </row>
    <row r="105" spans="2:41" x14ac:dyDescent="0.2">
      <c r="B105" s="22" t="str">
        <f>'Wzorzec kategorii'!B67</f>
        <v>Inne</v>
      </c>
      <c r="C105" s="19">
        <v>0</v>
      </c>
      <c r="D105" s="20">
        <f>SUM(Tabela194280[#This Row])</f>
        <v>0</v>
      </c>
      <c r="E105" s="20">
        <f t="shared" si="7"/>
        <v>0</v>
      </c>
      <c r="F105" s="21" t="str">
        <f t="shared" si="8"/>
        <v/>
      </c>
      <c r="G105" s="2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25"/>
      <c r="AO105" s="25"/>
    </row>
    <row r="106" spans="2:41" x14ac:dyDescent="0.2">
      <c r="B106" s="22" t="str">
        <f>'Wzorzec kategorii'!B68</f>
        <v>.</v>
      </c>
      <c r="C106" s="19">
        <v>0</v>
      </c>
      <c r="D106" s="20">
        <f>SUM(Tabela194280[#This Row])</f>
        <v>0</v>
      </c>
      <c r="E106" s="20">
        <f t="shared" si="7"/>
        <v>0</v>
      </c>
      <c r="F106" s="53" t="str">
        <f t="shared" si="8"/>
        <v/>
      </c>
      <c r="G106" s="54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25"/>
      <c r="AO106" s="25"/>
    </row>
    <row r="107" spans="2:41" x14ac:dyDescent="0.2">
      <c r="B107" s="22" t="str">
        <f>'Wzorzec kategorii'!B69</f>
        <v>.</v>
      </c>
      <c r="C107" s="19">
        <v>0</v>
      </c>
      <c r="D107" s="20">
        <f>SUM(Tabela194280[#This Row])</f>
        <v>0</v>
      </c>
      <c r="E107" s="20">
        <f t="shared" si="7"/>
        <v>0</v>
      </c>
      <c r="F107" s="53" t="str">
        <f t="shared" si="8"/>
        <v/>
      </c>
      <c r="G107" s="54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25"/>
      <c r="AO107" s="25"/>
    </row>
    <row r="108" spans="2:41" x14ac:dyDescent="0.2">
      <c r="B108" s="5" t="s">
        <v>30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</row>
    <row r="109" spans="2:41" x14ac:dyDescent="0.2">
      <c r="B109" s="2" t="str">
        <f>'Wzorzec kategorii'!B71</f>
        <v>Telekomunikacja</v>
      </c>
      <c r="C109" s="3">
        <f>SUM(Tabela83270[[#All],[Kolumna2]])</f>
        <v>0</v>
      </c>
      <c r="D109" s="16">
        <f>SUM(Tabela83270[[#All],[Kolumna3]])</f>
        <v>0</v>
      </c>
      <c r="E109" s="3">
        <f>C109-D109</f>
        <v>0</v>
      </c>
      <c r="F109" s="17" t="str">
        <f t="shared" ref="F109:F119" si="9">IFERROR(D109/C109,"")</f>
        <v/>
      </c>
      <c r="G109" s="3"/>
      <c r="I109" s="11" t="s">
        <v>44</v>
      </c>
      <c r="J109" s="11" t="s">
        <v>45</v>
      </c>
      <c r="K109" s="11" t="s">
        <v>46</v>
      </c>
      <c r="L109" s="11" t="s">
        <v>47</v>
      </c>
      <c r="M109" s="11" t="s">
        <v>48</v>
      </c>
      <c r="N109" s="11" t="s">
        <v>49</v>
      </c>
      <c r="O109" s="11" t="s">
        <v>50</v>
      </c>
      <c r="P109" s="11" t="s">
        <v>51</v>
      </c>
      <c r="Q109" s="11" t="s">
        <v>52</v>
      </c>
      <c r="R109" s="11" t="s">
        <v>53</v>
      </c>
      <c r="S109" s="11" t="s">
        <v>54</v>
      </c>
      <c r="T109" s="11" t="s">
        <v>55</v>
      </c>
      <c r="U109" s="11" t="s">
        <v>56</v>
      </c>
      <c r="V109" s="11" t="s">
        <v>57</v>
      </c>
      <c r="W109" s="11" t="s">
        <v>58</v>
      </c>
      <c r="X109" s="11" t="s">
        <v>59</v>
      </c>
      <c r="Y109" s="11" t="s">
        <v>60</v>
      </c>
      <c r="Z109" s="11" t="s">
        <v>61</v>
      </c>
      <c r="AA109" s="11" t="s">
        <v>62</v>
      </c>
      <c r="AB109" s="11" t="s">
        <v>63</v>
      </c>
      <c r="AC109" s="11" t="s">
        <v>64</v>
      </c>
      <c r="AD109" s="11" t="s">
        <v>65</v>
      </c>
      <c r="AE109" s="11" t="s">
        <v>66</v>
      </c>
      <c r="AF109" s="11" t="s">
        <v>67</v>
      </c>
      <c r="AG109" s="11" t="s">
        <v>68</v>
      </c>
      <c r="AH109" s="11" t="s">
        <v>69</v>
      </c>
      <c r="AI109" s="11" t="s">
        <v>70</v>
      </c>
      <c r="AJ109" s="11" t="s">
        <v>71</v>
      </c>
      <c r="AK109" s="11" t="s">
        <v>72</v>
      </c>
      <c r="AL109" s="11" t="s">
        <v>73</v>
      </c>
      <c r="AM109" s="11" t="s">
        <v>74</v>
      </c>
      <c r="AN109" s="25"/>
      <c r="AO109" s="25"/>
    </row>
    <row r="110" spans="2:41" x14ac:dyDescent="0.2">
      <c r="B110" s="22" t="str">
        <f>'Wzorzec kategorii'!B72</f>
        <v>Telefon 1</v>
      </c>
      <c r="C110" s="19">
        <v>0</v>
      </c>
      <c r="D110" s="20">
        <f>SUM(Tabela19214381[#This Row])</f>
        <v>0</v>
      </c>
      <c r="E110" s="20">
        <f t="shared" ref="E110:E119" si="10">C110-D110</f>
        <v>0</v>
      </c>
      <c r="F110" s="21" t="str">
        <f t="shared" si="9"/>
        <v/>
      </c>
      <c r="G110" s="24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25"/>
      <c r="AO110" s="25"/>
    </row>
    <row r="111" spans="2:41" x14ac:dyDescent="0.2">
      <c r="B111" s="22" t="str">
        <f>'Wzorzec kategorii'!B73</f>
        <v>Telefon 2</v>
      </c>
      <c r="C111" s="19">
        <v>0</v>
      </c>
      <c r="D111" s="20">
        <f>SUM(Tabela19214381[#This Row])</f>
        <v>0</v>
      </c>
      <c r="E111" s="20">
        <f t="shared" si="10"/>
        <v>0</v>
      </c>
      <c r="F111" s="21" t="str">
        <f t="shared" si="9"/>
        <v/>
      </c>
      <c r="G111" s="24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25"/>
      <c r="AO111" s="25"/>
    </row>
    <row r="112" spans="2:41" x14ac:dyDescent="0.2">
      <c r="B112" s="22" t="str">
        <f>'Wzorzec kategorii'!B74</f>
        <v>TV</v>
      </c>
      <c r="C112" s="19">
        <v>0</v>
      </c>
      <c r="D112" s="20">
        <f>SUM(Tabela19214381[#This Row])</f>
        <v>0</v>
      </c>
      <c r="E112" s="20">
        <f t="shared" si="10"/>
        <v>0</v>
      </c>
      <c r="F112" s="21" t="str">
        <f t="shared" si="9"/>
        <v/>
      </c>
      <c r="G112" s="2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5"/>
      <c r="AO112" s="25"/>
    </row>
    <row r="113" spans="2:41" x14ac:dyDescent="0.2">
      <c r="B113" s="22" t="str">
        <f>'Wzorzec kategorii'!B75</f>
        <v>Internet</v>
      </c>
      <c r="C113" s="19">
        <v>0</v>
      </c>
      <c r="D113" s="20">
        <f>SUM(Tabela19214381[#This Row])</f>
        <v>0</v>
      </c>
      <c r="E113" s="20">
        <f t="shared" si="10"/>
        <v>0</v>
      </c>
      <c r="F113" s="21" t="str">
        <f t="shared" si="9"/>
        <v/>
      </c>
      <c r="G113" s="2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25"/>
      <c r="AO113" s="25"/>
    </row>
    <row r="114" spans="2:41" x14ac:dyDescent="0.2">
      <c r="B114" s="22" t="str">
        <f>'Wzorzec kategorii'!B76</f>
        <v>Inne</v>
      </c>
      <c r="C114" s="19">
        <v>0</v>
      </c>
      <c r="D114" s="20">
        <f>SUM(Tabela19214381[#This Row])</f>
        <v>0</v>
      </c>
      <c r="E114" s="20">
        <f t="shared" si="10"/>
        <v>0</v>
      </c>
      <c r="F114" s="21" t="str">
        <f t="shared" si="9"/>
        <v/>
      </c>
      <c r="G114" s="2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25"/>
      <c r="AO114" s="25"/>
    </row>
    <row r="115" spans="2:41" x14ac:dyDescent="0.2">
      <c r="B115" s="22" t="str">
        <f>'Wzorzec kategorii'!B77</f>
        <v>.</v>
      </c>
      <c r="C115" s="19">
        <v>0</v>
      </c>
      <c r="D115" s="20">
        <f>SUM(Tabela19214381[#This Row])</f>
        <v>0</v>
      </c>
      <c r="E115" s="20">
        <f t="shared" si="10"/>
        <v>0</v>
      </c>
      <c r="F115" s="53" t="str">
        <f t="shared" si="9"/>
        <v/>
      </c>
      <c r="G115" s="54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25"/>
      <c r="AO115" s="25"/>
    </row>
    <row r="116" spans="2:41" x14ac:dyDescent="0.2">
      <c r="B116" s="22" t="str">
        <f>'Wzorzec kategorii'!B78</f>
        <v>.</v>
      </c>
      <c r="C116" s="19">
        <v>0</v>
      </c>
      <c r="D116" s="20">
        <f>SUM(Tabela19214381[#This Row])</f>
        <v>0</v>
      </c>
      <c r="E116" s="20">
        <f t="shared" si="10"/>
        <v>0</v>
      </c>
      <c r="F116" s="53" t="str">
        <f t="shared" si="9"/>
        <v/>
      </c>
      <c r="G116" s="54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25"/>
      <c r="AO116" s="25"/>
    </row>
    <row r="117" spans="2:41" x14ac:dyDescent="0.2">
      <c r="B117" s="22" t="str">
        <f>'Wzorzec kategorii'!B79</f>
        <v>.</v>
      </c>
      <c r="C117" s="19">
        <v>0</v>
      </c>
      <c r="D117" s="20">
        <f>SUM(Tabela19214381[#This Row])</f>
        <v>0</v>
      </c>
      <c r="E117" s="20">
        <f t="shared" si="10"/>
        <v>0</v>
      </c>
      <c r="F117" s="53" t="str">
        <f t="shared" si="9"/>
        <v/>
      </c>
      <c r="G117" s="54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25"/>
      <c r="AO117" s="25"/>
    </row>
    <row r="118" spans="2:41" x14ac:dyDescent="0.2">
      <c r="B118" s="22" t="str">
        <f>'Wzorzec kategorii'!B80</f>
        <v>.</v>
      </c>
      <c r="C118" s="19">
        <v>0</v>
      </c>
      <c r="D118" s="20">
        <f>SUM(Tabela19214381[#This Row])</f>
        <v>0</v>
      </c>
      <c r="E118" s="20">
        <f t="shared" si="10"/>
        <v>0</v>
      </c>
      <c r="F118" s="53" t="str">
        <f t="shared" si="9"/>
        <v/>
      </c>
      <c r="G118" s="54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25"/>
      <c r="AO118" s="25"/>
    </row>
    <row r="119" spans="2:41" x14ac:dyDescent="0.2">
      <c r="B119" s="22" t="str">
        <f>'Wzorzec kategorii'!B81</f>
        <v>.</v>
      </c>
      <c r="C119" s="19">
        <v>0</v>
      </c>
      <c r="D119" s="20">
        <f>SUM(Tabela19214381[#This Row])</f>
        <v>0</v>
      </c>
      <c r="E119" s="20">
        <f t="shared" si="10"/>
        <v>0</v>
      </c>
      <c r="F119" s="53" t="str">
        <f t="shared" si="9"/>
        <v/>
      </c>
      <c r="G119" s="54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25"/>
      <c r="AO119" s="25"/>
    </row>
    <row r="120" spans="2:41" x14ac:dyDescent="0.2"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</row>
    <row r="121" spans="2:41" x14ac:dyDescent="0.2">
      <c r="B121" s="2" t="str">
        <f>'Wzorzec kategorii'!B83</f>
        <v>Opieka zdrowotna</v>
      </c>
      <c r="C121" s="3">
        <f>SUM(Tabela93371[[#All],[Kolumna2]])</f>
        <v>0</v>
      </c>
      <c r="D121" s="16">
        <f>SUM(Tabela93371[[#All],[Kolumna3]])</f>
        <v>0</v>
      </c>
      <c r="E121" s="3">
        <f>C121-D121</f>
        <v>0</v>
      </c>
      <c r="F121" s="17" t="str">
        <f>IFERROR(D121/C121,"")</f>
        <v/>
      </c>
      <c r="G121" s="3"/>
      <c r="I121" s="11" t="s">
        <v>44</v>
      </c>
      <c r="J121" s="11" t="s">
        <v>45</v>
      </c>
      <c r="K121" s="11" t="s">
        <v>46</v>
      </c>
      <c r="L121" s="11" t="s">
        <v>47</v>
      </c>
      <c r="M121" s="11" t="s">
        <v>48</v>
      </c>
      <c r="N121" s="11" t="s">
        <v>49</v>
      </c>
      <c r="O121" s="11" t="s">
        <v>50</v>
      </c>
      <c r="P121" s="11" t="s">
        <v>51</v>
      </c>
      <c r="Q121" s="11" t="s">
        <v>52</v>
      </c>
      <c r="R121" s="11" t="s">
        <v>53</v>
      </c>
      <c r="S121" s="11" t="s">
        <v>54</v>
      </c>
      <c r="T121" s="11" t="s">
        <v>55</v>
      </c>
      <c r="U121" s="11" t="s">
        <v>56</v>
      </c>
      <c r="V121" s="11" t="s">
        <v>57</v>
      </c>
      <c r="W121" s="11" t="s">
        <v>58</v>
      </c>
      <c r="X121" s="11" t="s">
        <v>59</v>
      </c>
      <c r="Y121" s="11" t="s">
        <v>60</v>
      </c>
      <c r="Z121" s="11" t="s">
        <v>61</v>
      </c>
      <c r="AA121" s="11" t="s">
        <v>62</v>
      </c>
      <c r="AB121" s="11" t="s">
        <v>63</v>
      </c>
      <c r="AC121" s="11" t="s">
        <v>64</v>
      </c>
      <c r="AD121" s="11" t="s">
        <v>65</v>
      </c>
      <c r="AE121" s="11" t="s">
        <v>66</v>
      </c>
      <c r="AF121" s="11" t="s">
        <v>67</v>
      </c>
      <c r="AG121" s="11" t="s">
        <v>68</v>
      </c>
      <c r="AH121" s="11" t="s">
        <v>69</v>
      </c>
      <c r="AI121" s="11" t="s">
        <v>70</v>
      </c>
      <c r="AJ121" s="11" t="s">
        <v>71</v>
      </c>
      <c r="AK121" s="11" t="s">
        <v>72</v>
      </c>
      <c r="AL121" s="11" t="s">
        <v>73</v>
      </c>
      <c r="AM121" s="11" t="s">
        <v>74</v>
      </c>
      <c r="AN121" s="25"/>
      <c r="AO121" s="25"/>
    </row>
    <row r="122" spans="2:41" x14ac:dyDescent="0.2">
      <c r="B122" s="22" t="str">
        <f>'Wzorzec kategorii'!B84</f>
        <v>Lekarz</v>
      </c>
      <c r="C122" s="19">
        <v>0</v>
      </c>
      <c r="D122" s="20">
        <f>SUM(Tabela1921254785[#This Row])</f>
        <v>0</v>
      </c>
      <c r="E122" s="20">
        <f t="shared" ref="E122:E131" si="11">C122-D122</f>
        <v>0</v>
      </c>
      <c r="F122" s="21" t="str">
        <f>IFERROR(D122/C122,"")</f>
        <v/>
      </c>
      <c r="G122" s="2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25"/>
      <c r="AO122" s="25"/>
    </row>
    <row r="123" spans="2:41" x14ac:dyDescent="0.2">
      <c r="B123" s="22" t="str">
        <f>'Wzorzec kategorii'!B85</f>
        <v>Badania</v>
      </c>
      <c r="C123" s="19">
        <v>0</v>
      </c>
      <c r="D123" s="20">
        <f>SUM(Tabela1921254785[#This Row])</f>
        <v>0</v>
      </c>
      <c r="E123" s="20">
        <f t="shared" si="11"/>
        <v>0</v>
      </c>
      <c r="F123" s="21" t="str">
        <f>IFERROR(D123/C123,"")</f>
        <v/>
      </c>
      <c r="G123" s="2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25"/>
      <c r="AO123" s="25"/>
    </row>
    <row r="124" spans="2:41" x14ac:dyDescent="0.2">
      <c r="B124" s="22" t="str">
        <f>'Wzorzec kategorii'!B86</f>
        <v>Lekarstwa</v>
      </c>
      <c r="C124" s="19">
        <v>0</v>
      </c>
      <c r="D124" s="20">
        <f>SUM(Tabela1921254785[#This Row])</f>
        <v>0</v>
      </c>
      <c r="E124" s="20">
        <f t="shared" si="11"/>
        <v>0</v>
      </c>
      <c r="F124" s="21" t="str">
        <f>IFERROR(D124/C124,"")</f>
        <v/>
      </c>
      <c r="G124" s="2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25"/>
      <c r="AO124" s="25"/>
    </row>
    <row r="125" spans="2:41" x14ac:dyDescent="0.2">
      <c r="B125" s="22" t="str">
        <f>'Wzorzec kategorii'!B87</f>
        <v>Inne</v>
      </c>
      <c r="C125" s="19">
        <v>0</v>
      </c>
      <c r="D125" s="20">
        <f>SUM(Tabela1921254785[#This Row])</f>
        <v>0</v>
      </c>
      <c r="E125" s="20">
        <f t="shared" si="11"/>
        <v>0</v>
      </c>
      <c r="F125" s="21" t="str">
        <f>IFERROR(D125/C125,"")</f>
        <v/>
      </c>
      <c r="G125" s="24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25"/>
      <c r="AO125" s="25"/>
    </row>
    <row r="126" spans="2:41" x14ac:dyDescent="0.2">
      <c r="B126" s="50" t="str">
        <f>'Wzorzec kategorii'!B88</f>
        <v>.</v>
      </c>
      <c r="C126" s="19">
        <v>0</v>
      </c>
      <c r="D126" s="20">
        <f>SUM(Tabela1921254785[#This Row])</f>
        <v>0</v>
      </c>
      <c r="E126" s="20">
        <f t="shared" si="11"/>
        <v>0</v>
      </c>
      <c r="F126" s="53" t="str">
        <f t="shared" ref="F126:F131" si="12">IFERROR(D126/C126,"")</f>
        <v/>
      </c>
      <c r="G126" s="54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25"/>
      <c r="AO126" s="25"/>
    </row>
    <row r="127" spans="2:41" x14ac:dyDescent="0.2">
      <c r="B127" s="50" t="str">
        <f>'Wzorzec kategorii'!B89</f>
        <v>.</v>
      </c>
      <c r="C127" s="19">
        <v>0</v>
      </c>
      <c r="D127" s="20">
        <f>SUM(Tabela1921254785[#This Row])</f>
        <v>0</v>
      </c>
      <c r="E127" s="20">
        <f t="shared" si="11"/>
        <v>0</v>
      </c>
      <c r="F127" s="53" t="str">
        <f t="shared" si="12"/>
        <v/>
      </c>
      <c r="G127" s="54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25"/>
      <c r="AO127" s="25"/>
    </row>
    <row r="128" spans="2:41" x14ac:dyDescent="0.2">
      <c r="B128" s="50" t="str">
        <f>'Wzorzec kategorii'!B90</f>
        <v>.</v>
      </c>
      <c r="C128" s="19">
        <v>0</v>
      </c>
      <c r="D128" s="20">
        <f>SUM(Tabela1921254785[#This Row])</f>
        <v>0</v>
      </c>
      <c r="E128" s="20">
        <f t="shared" si="11"/>
        <v>0</v>
      </c>
      <c r="F128" s="53" t="str">
        <f t="shared" si="12"/>
        <v/>
      </c>
      <c r="G128" s="54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25"/>
      <c r="AO128" s="25"/>
    </row>
    <row r="129" spans="2:41" x14ac:dyDescent="0.2">
      <c r="B129" s="50" t="str">
        <f>'Wzorzec kategorii'!B91</f>
        <v>.</v>
      </c>
      <c r="C129" s="19">
        <v>0</v>
      </c>
      <c r="D129" s="20">
        <f>SUM(Tabela1921254785[#This Row])</f>
        <v>0</v>
      </c>
      <c r="E129" s="20">
        <f t="shared" si="11"/>
        <v>0</v>
      </c>
      <c r="F129" s="53" t="str">
        <f t="shared" si="12"/>
        <v/>
      </c>
      <c r="G129" s="54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25"/>
      <c r="AO129" s="25"/>
    </row>
    <row r="130" spans="2:41" x14ac:dyDescent="0.2">
      <c r="B130" s="50" t="str">
        <f>'Wzorzec kategorii'!B92</f>
        <v>.</v>
      </c>
      <c r="C130" s="19">
        <v>0</v>
      </c>
      <c r="D130" s="20">
        <f>SUM(Tabela1921254785[#This Row])</f>
        <v>0</v>
      </c>
      <c r="E130" s="20">
        <f t="shared" si="11"/>
        <v>0</v>
      </c>
      <c r="F130" s="53" t="str">
        <f t="shared" si="12"/>
        <v/>
      </c>
      <c r="G130" s="54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25"/>
      <c r="AO130" s="25"/>
    </row>
    <row r="131" spans="2:41" x14ac:dyDescent="0.2">
      <c r="B131" s="50" t="str">
        <f>'Wzorzec kategorii'!B93</f>
        <v>.</v>
      </c>
      <c r="C131" s="19">
        <v>0</v>
      </c>
      <c r="D131" s="20">
        <f>SUM(Tabela1921254785[#This Row])</f>
        <v>0</v>
      </c>
      <c r="E131" s="20">
        <f t="shared" si="11"/>
        <v>0</v>
      </c>
      <c r="F131" s="53" t="str">
        <f t="shared" si="12"/>
        <v/>
      </c>
      <c r="G131" s="54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25"/>
      <c r="AO131" s="25"/>
    </row>
    <row r="132" spans="2:41" x14ac:dyDescent="0.2">
      <c r="B132" s="13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</row>
    <row r="133" spans="2:41" x14ac:dyDescent="0.2">
      <c r="B133" s="2" t="str">
        <f>'Wzorzec kategorii'!B95</f>
        <v>Ubranie</v>
      </c>
      <c r="C133" s="3">
        <f>SUM(Tabela103472[[#All],[Kolumna2]])</f>
        <v>0</v>
      </c>
      <c r="D133" s="16">
        <f>SUM(Tabela103472[[#All],[Kolumna3]])</f>
        <v>0</v>
      </c>
      <c r="E133" s="3">
        <f>C133-D133</f>
        <v>0</v>
      </c>
      <c r="F133" s="17" t="str">
        <f t="shared" ref="F133:F143" si="13">IFERROR(D133/C133,"")</f>
        <v/>
      </c>
      <c r="G133" s="3"/>
      <c r="I133" s="11" t="s">
        <v>44</v>
      </c>
      <c r="J133" s="11" t="s">
        <v>45</v>
      </c>
      <c r="K133" s="11" t="s">
        <v>46</v>
      </c>
      <c r="L133" s="11" t="s">
        <v>47</v>
      </c>
      <c r="M133" s="11" t="s">
        <v>48</v>
      </c>
      <c r="N133" s="11" t="s">
        <v>49</v>
      </c>
      <c r="O133" s="11" t="s">
        <v>50</v>
      </c>
      <c r="P133" s="11" t="s">
        <v>51</v>
      </c>
      <c r="Q133" s="11" t="s">
        <v>52</v>
      </c>
      <c r="R133" s="11" t="s">
        <v>53</v>
      </c>
      <c r="S133" s="11" t="s">
        <v>54</v>
      </c>
      <c r="T133" s="11" t="s">
        <v>55</v>
      </c>
      <c r="U133" s="11" t="s">
        <v>56</v>
      </c>
      <c r="V133" s="11" t="s">
        <v>57</v>
      </c>
      <c r="W133" s="11" t="s">
        <v>58</v>
      </c>
      <c r="X133" s="11" t="s">
        <v>59</v>
      </c>
      <c r="Y133" s="11" t="s">
        <v>60</v>
      </c>
      <c r="Z133" s="11" t="s">
        <v>61</v>
      </c>
      <c r="AA133" s="11" t="s">
        <v>62</v>
      </c>
      <c r="AB133" s="11" t="s">
        <v>63</v>
      </c>
      <c r="AC133" s="11" t="s">
        <v>64</v>
      </c>
      <c r="AD133" s="11" t="s">
        <v>65</v>
      </c>
      <c r="AE133" s="11" t="s">
        <v>66</v>
      </c>
      <c r="AF133" s="11" t="s">
        <v>67</v>
      </c>
      <c r="AG133" s="11" t="s">
        <v>68</v>
      </c>
      <c r="AH133" s="11" t="s">
        <v>69</v>
      </c>
      <c r="AI133" s="11" t="s">
        <v>70</v>
      </c>
      <c r="AJ133" s="11" t="s">
        <v>71</v>
      </c>
      <c r="AK133" s="11" t="s">
        <v>72</v>
      </c>
      <c r="AL133" s="11" t="s">
        <v>73</v>
      </c>
      <c r="AM133" s="11" t="s">
        <v>74</v>
      </c>
      <c r="AN133" s="25"/>
      <c r="AO133" s="25"/>
    </row>
    <row r="134" spans="2:41" x14ac:dyDescent="0.2">
      <c r="B134" s="22" t="str">
        <f>'Wzorzec kategorii'!B96</f>
        <v>Ubranie zwykłe</v>
      </c>
      <c r="C134" s="19">
        <v>0</v>
      </c>
      <c r="D134" s="20">
        <f>SUM(Tabela1921244684[#This Row])</f>
        <v>0</v>
      </c>
      <c r="E134" s="20">
        <f t="shared" ref="E134:E143" si="14">C134-D134</f>
        <v>0</v>
      </c>
      <c r="F134" s="21" t="str">
        <f t="shared" si="13"/>
        <v/>
      </c>
      <c r="G134" s="2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25"/>
      <c r="AO134" s="25"/>
    </row>
    <row r="135" spans="2:41" x14ac:dyDescent="0.2">
      <c r="B135" s="22" t="str">
        <f>'Wzorzec kategorii'!B97</f>
        <v>Ubranie sportowe</v>
      </c>
      <c r="C135" s="19">
        <v>0</v>
      </c>
      <c r="D135" s="20">
        <f>SUM(Tabela1921244684[#This Row])</f>
        <v>0</v>
      </c>
      <c r="E135" s="20">
        <f t="shared" si="14"/>
        <v>0</v>
      </c>
      <c r="F135" s="21" t="str">
        <f t="shared" si="13"/>
        <v/>
      </c>
      <c r="G135" s="24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25"/>
      <c r="AO135" s="25"/>
    </row>
    <row r="136" spans="2:41" x14ac:dyDescent="0.2">
      <c r="B136" s="22" t="str">
        <f>'Wzorzec kategorii'!B98</f>
        <v>Buty</v>
      </c>
      <c r="C136" s="19">
        <v>0</v>
      </c>
      <c r="D136" s="20">
        <f>SUM(Tabela1921244684[#This Row])</f>
        <v>0</v>
      </c>
      <c r="E136" s="20">
        <f t="shared" si="14"/>
        <v>0</v>
      </c>
      <c r="F136" s="21" t="str">
        <f t="shared" si="13"/>
        <v/>
      </c>
      <c r="G136" s="24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25"/>
      <c r="AO136" s="25"/>
    </row>
    <row r="137" spans="2:41" x14ac:dyDescent="0.2">
      <c r="B137" s="22" t="str">
        <f>'Wzorzec kategorii'!B99</f>
        <v>Dodatki</v>
      </c>
      <c r="C137" s="19">
        <v>0</v>
      </c>
      <c r="D137" s="20">
        <f>SUM(Tabela1921244684[#This Row])</f>
        <v>0</v>
      </c>
      <c r="E137" s="20">
        <f t="shared" si="14"/>
        <v>0</v>
      </c>
      <c r="F137" s="21" t="str">
        <f t="shared" si="13"/>
        <v/>
      </c>
      <c r="G137" s="2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25"/>
      <c r="AO137" s="25"/>
    </row>
    <row r="138" spans="2:41" x14ac:dyDescent="0.2">
      <c r="B138" s="22" t="str">
        <f>'Wzorzec kategorii'!B100</f>
        <v>Inne</v>
      </c>
      <c r="C138" s="19">
        <v>0</v>
      </c>
      <c r="D138" s="20">
        <f>SUM(Tabela1921244684[#This Row])</f>
        <v>0</v>
      </c>
      <c r="E138" s="20">
        <f t="shared" si="14"/>
        <v>0</v>
      </c>
      <c r="F138" s="21" t="str">
        <f t="shared" si="13"/>
        <v/>
      </c>
      <c r="G138" s="2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25"/>
      <c r="AO138" s="25"/>
    </row>
    <row r="139" spans="2:41" x14ac:dyDescent="0.2">
      <c r="B139" s="50" t="str">
        <f>'Wzorzec kategorii'!B101</f>
        <v>.</v>
      </c>
      <c r="C139" s="19">
        <v>0</v>
      </c>
      <c r="D139" s="20">
        <f>SUM(Tabela1921244684[#This Row])</f>
        <v>0</v>
      </c>
      <c r="E139" s="20">
        <f t="shared" si="14"/>
        <v>0</v>
      </c>
      <c r="F139" s="53" t="str">
        <f t="shared" si="13"/>
        <v/>
      </c>
      <c r="G139" s="54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25"/>
      <c r="AO139" s="25"/>
    </row>
    <row r="140" spans="2:41" x14ac:dyDescent="0.2">
      <c r="B140" s="50" t="str">
        <f>'Wzorzec kategorii'!B102</f>
        <v>.</v>
      </c>
      <c r="C140" s="19">
        <v>0</v>
      </c>
      <c r="D140" s="20">
        <f>SUM(Tabela1921244684[#This Row])</f>
        <v>0</v>
      </c>
      <c r="E140" s="20">
        <f t="shared" si="14"/>
        <v>0</v>
      </c>
      <c r="F140" s="53" t="str">
        <f t="shared" si="13"/>
        <v/>
      </c>
      <c r="G140" s="54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25"/>
      <c r="AO140" s="25"/>
    </row>
    <row r="141" spans="2:41" x14ac:dyDescent="0.2">
      <c r="B141" s="50" t="str">
        <f>'Wzorzec kategorii'!B103</f>
        <v>.</v>
      </c>
      <c r="C141" s="19">
        <v>0</v>
      </c>
      <c r="D141" s="20">
        <f>SUM(Tabela1921244684[#This Row])</f>
        <v>0</v>
      </c>
      <c r="E141" s="20">
        <f t="shared" si="14"/>
        <v>0</v>
      </c>
      <c r="F141" s="53" t="str">
        <f t="shared" si="13"/>
        <v/>
      </c>
      <c r="G141" s="54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25"/>
      <c r="AO141" s="25"/>
    </row>
    <row r="142" spans="2:41" x14ac:dyDescent="0.2">
      <c r="B142" s="50" t="str">
        <f>'Wzorzec kategorii'!B104</f>
        <v>.</v>
      </c>
      <c r="C142" s="19">
        <v>0</v>
      </c>
      <c r="D142" s="20">
        <f>SUM(Tabela1921244684[#This Row])</f>
        <v>0</v>
      </c>
      <c r="E142" s="20">
        <f t="shared" si="14"/>
        <v>0</v>
      </c>
      <c r="F142" s="53" t="str">
        <f t="shared" si="13"/>
        <v/>
      </c>
      <c r="G142" s="54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25"/>
      <c r="AO142" s="25"/>
    </row>
    <row r="143" spans="2:41" x14ac:dyDescent="0.2">
      <c r="B143" s="50" t="str">
        <f>'Wzorzec kategorii'!B105</f>
        <v>.</v>
      </c>
      <c r="C143" s="19">
        <v>0</v>
      </c>
      <c r="D143" s="20">
        <f>SUM(Tabela1921244684[#This Row])</f>
        <v>0</v>
      </c>
      <c r="E143" s="20">
        <f t="shared" si="14"/>
        <v>0</v>
      </c>
      <c r="F143" s="53" t="str">
        <f t="shared" si="13"/>
        <v/>
      </c>
      <c r="G143" s="54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25"/>
      <c r="AO143" s="25"/>
    </row>
    <row r="144" spans="2:41" x14ac:dyDescent="0.2">
      <c r="B144" s="5" t="s">
        <v>30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</row>
    <row r="145" spans="2:41" x14ac:dyDescent="0.2">
      <c r="B145" s="2" t="str">
        <f>'Wzorzec kategorii'!B107</f>
        <v>Higiena</v>
      </c>
      <c r="C145" s="3">
        <f>SUM(Tabela113573[[#All],[Kolumna2]])</f>
        <v>0</v>
      </c>
      <c r="D145" s="16">
        <f>SUM(Tabela113573[[#All],[Kolumna3]])</f>
        <v>0</v>
      </c>
      <c r="E145" s="3">
        <f>C145-D145</f>
        <v>0</v>
      </c>
      <c r="F145" s="17" t="str">
        <f t="shared" ref="F145:F155" si="15">IFERROR(D145/C145,"")</f>
        <v/>
      </c>
      <c r="G145" s="3"/>
      <c r="I145" s="11" t="s">
        <v>44</v>
      </c>
      <c r="J145" s="11" t="s">
        <v>45</v>
      </c>
      <c r="K145" s="11" t="s">
        <v>46</v>
      </c>
      <c r="L145" s="11" t="s">
        <v>47</v>
      </c>
      <c r="M145" s="11" t="s">
        <v>48</v>
      </c>
      <c r="N145" s="11" t="s">
        <v>49</v>
      </c>
      <c r="O145" s="11" t="s">
        <v>50</v>
      </c>
      <c r="P145" s="11" t="s">
        <v>51</v>
      </c>
      <c r="Q145" s="11" t="s">
        <v>52</v>
      </c>
      <c r="R145" s="11" t="s">
        <v>53</v>
      </c>
      <c r="S145" s="11" t="s">
        <v>54</v>
      </c>
      <c r="T145" s="11" t="s">
        <v>55</v>
      </c>
      <c r="U145" s="11" t="s">
        <v>56</v>
      </c>
      <c r="V145" s="11" t="s">
        <v>57</v>
      </c>
      <c r="W145" s="11" t="s">
        <v>58</v>
      </c>
      <c r="X145" s="11" t="s">
        <v>59</v>
      </c>
      <c r="Y145" s="11" t="s">
        <v>60</v>
      </c>
      <c r="Z145" s="11" t="s">
        <v>61</v>
      </c>
      <c r="AA145" s="11" t="s">
        <v>62</v>
      </c>
      <c r="AB145" s="11" t="s">
        <v>63</v>
      </c>
      <c r="AC145" s="11" t="s">
        <v>64</v>
      </c>
      <c r="AD145" s="11" t="s">
        <v>65</v>
      </c>
      <c r="AE145" s="11" t="s">
        <v>66</v>
      </c>
      <c r="AF145" s="11" t="s">
        <v>67</v>
      </c>
      <c r="AG145" s="11" t="s">
        <v>68</v>
      </c>
      <c r="AH145" s="11" t="s">
        <v>69</v>
      </c>
      <c r="AI145" s="11" t="s">
        <v>70</v>
      </c>
      <c r="AJ145" s="11" t="s">
        <v>71</v>
      </c>
      <c r="AK145" s="11" t="s">
        <v>72</v>
      </c>
      <c r="AL145" s="11" t="s">
        <v>73</v>
      </c>
      <c r="AM145" s="11" t="s">
        <v>74</v>
      </c>
      <c r="AN145" s="25"/>
      <c r="AO145" s="25"/>
    </row>
    <row r="146" spans="2:41" x14ac:dyDescent="0.2">
      <c r="B146" s="22" t="str">
        <f>'Wzorzec kategorii'!B108</f>
        <v>Kosmetyki</v>
      </c>
      <c r="C146" s="19">
        <v>0</v>
      </c>
      <c r="D146" s="20">
        <f>SUM(Tabela19224482[#This Row])</f>
        <v>0</v>
      </c>
      <c r="E146" s="20">
        <f t="shared" ref="E146:E155" si="16">C146-D146</f>
        <v>0</v>
      </c>
      <c r="F146" s="21" t="str">
        <f t="shared" si="15"/>
        <v/>
      </c>
      <c r="G146" s="24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25"/>
      <c r="AO146" s="25"/>
    </row>
    <row r="147" spans="2:41" x14ac:dyDescent="0.2">
      <c r="B147" s="22" t="str">
        <f>'Wzorzec kategorii'!B109</f>
        <v>Środki czystości (chemia)</v>
      </c>
      <c r="C147" s="19">
        <v>0</v>
      </c>
      <c r="D147" s="20">
        <f>SUM(Tabela19224482[#This Row])</f>
        <v>0</v>
      </c>
      <c r="E147" s="20">
        <f t="shared" si="16"/>
        <v>0</v>
      </c>
      <c r="F147" s="21" t="str">
        <f t="shared" si="15"/>
        <v/>
      </c>
      <c r="G147" s="2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25"/>
      <c r="AO147" s="25"/>
    </row>
    <row r="148" spans="2:41" x14ac:dyDescent="0.2">
      <c r="B148" s="22" t="str">
        <f>'Wzorzec kategorii'!B110</f>
        <v>Fryzjer</v>
      </c>
      <c r="C148" s="19">
        <v>0</v>
      </c>
      <c r="D148" s="20">
        <f>SUM(Tabela19224482[#This Row])</f>
        <v>0</v>
      </c>
      <c r="E148" s="20">
        <f t="shared" si="16"/>
        <v>0</v>
      </c>
      <c r="F148" s="21" t="str">
        <f t="shared" si="15"/>
        <v/>
      </c>
      <c r="G148" s="2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25"/>
      <c r="AO148" s="25"/>
    </row>
    <row r="149" spans="2:41" x14ac:dyDescent="0.2">
      <c r="B149" s="22" t="str">
        <f>'Wzorzec kategorii'!B111</f>
        <v>Kosmetyczka</v>
      </c>
      <c r="C149" s="19">
        <v>0</v>
      </c>
      <c r="D149" s="20">
        <f>SUM(Tabela19224482[#This Row])</f>
        <v>0</v>
      </c>
      <c r="E149" s="20">
        <f t="shared" si="16"/>
        <v>0</v>
      </c>
      <c r="F149" s="21" t="str">
        <f t="shared" si="15"/>
        <v/>
      </c>
      <c r="G149" s="2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25"/>
      <c r="AO149" s="25"/>
    </row>
    <row r="150" spans="2:41" x14ac:dyDescent="0.2">
      <c r="B150" s="22" t="str">
        <f>'Wzorzec kategorii'!B112</f>
        <v>Inne</v>
      </c>
      <c r="C150" s="19">
        <v>0</v>
      </c>
      <c r="D150" s="20">
        <f>SUM(Tabela19224482[#This Row])</f>
        <v>0</v>
      </c>
      <c r="E150" s="20">
        <f t="shared" si="16"/>
        <v>0</v>
      </c>
      <c r="F150" s="21" t="str">
        <f t="shared" si="15"/>
        <v/>
      </c>
      <c r="G150" s="2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25"/>
      <c r="AO150" s="25"/>
    </row>
    <row r="151" spans="2:41" x14ac:dyDescent="0.2">
      <c r="B151" s="22" t="str">
        <f>'Wzorzec kategorii'!B113</f>
        <v>.</v>
      </c>
      <c r="C151" s="19">
        <v>0</v>
      </c>
      <c r="D151" s="20">
        <f>SUM(Tabela19224482[#This Row])</f>
        <v>0</v>
      </c>
      <c r="E151" s="20">
        <f t="shared" si="16"/>
        <v>0</v>
      </c>
      <c r="F151" s="53" t="str">
        <f t="shared" si="15"/>
        <v/>
      </c>
      <c r="G151" s="54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25"/>
      <c r="AO151" s="25"/>
    </row>
    <row r="152" spans="2:41" x14ac:dyDescent="0.2">
      <c r="B152" s="22" t="str">
        <f>'Wzorzec kategorii'!B114</f>
        <v>.</v>
      </c>
      <c r="C152" s="19">
        <v>0</v>
      </c>
      <c r="D152" s="20">
        <f>SUM(Tabela19224482[#This Row])</f>
        <v>0</v>
      </c>
      <c r="E152" s="20">
        <f t="shared" si="16"/>
        <v>0</v>
      </c>
      <c r="F152" s="53" t="str">
        <f t="shared" si="15"/>
        <v/>
      </c>
      <c r="G152" s="54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25"/>
      <c r="AO152" s="25"/>
    </row>
    <row r="153" spans="2:41" x14ac:dyDescent="0.2">
      <c r="B153" s="22" t="str">
        <f>'Wzorzec kategorii'!B115</f>
        <v>.</v>
      </c>
      <c r="C153" s="19">
        <v>0</v>
      </c>
      <c r="D153" s="20">
        <f>SUM(Tabela19224482[#This Row])</f>
        <v>0</v>
      </c>
      <c r="E153" s="20">
        <f t="shared" si="16"/>
        <v>0</v>
      </c>
      <c r="F153" s="53" t="str">
        <f t="shared" si="15"/>
        <v/>
      </c>
      <c r="G153" s="54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25"/>
      <c r="AO153" s="25"/>
    </row>
    <row r="154" spans="2:41" x14ac:dyDescent="0.2">
      <c r="B154" s="22" t="str">
        <f>'Wzorzec kategorii'!B116</f>
        <v>.</v>
      </c>
      <c r="C154" s="19">
        <v>0</v>
      </c>
      <c r="D154" s="20">
        <f>SUM(Tabela19224482[#This Row])</f>
        <v>0</v>
      </c>
      <c r="E154" s="20">
        <f t="shared" si="16"/>
        <v>0</v>
      </c>
      <c r="F154" s="53" t="str">
        <f t="shared" si="15"/>
        <v/>
      </c>
      <c r="G154" s="54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25"/>
      <c r="AO154" s="25"/>
    </row>
    <row r="155" spans="2:41" x14ac:dyDescent="0.2">
      <c r="B155" s="22" t="str">
        <f>'Wzorzec kategorii'!B117</f>
        <v>.</v>
      </c>
      <c r="C155" s="19">
        <v>0</v>
      </c>
      <c r="D155" s="20">
        <f>SUM(Tabela19224482[#This Row])</f>
        <v>0</v>
      </c>
      <c r="E155" s="20">
        <f t="shared" si="16"/>
        <v>0</v>
      </c>
      <c r="F155" s="53" t="str">
        <f t="shared" si="15"/>
        <v/>
      </c>
      <c r="G155" s="54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25"/>
      <c r="AO155" s="25"/>
    </row>
    <row r="156" spans="2:41" x14ac:dyDescent="0.2">
      <c r="B156" s="5" t="s">
        <v>30</v>
      </c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</row>
    <row r="157" spans="2:41" x14ac:dyDescent="0.2">
      <c r="B157" s="2" t="str">
        <f>'Wzorzec kategorii'!B119</f>
        <v>Dzieci</v>
      </c>
      <c r="C157" s="3">
        <f>SUM(Tabela123674[[#All],[Kolumna2]])</f>
        <v>0</v>
      </c>
      <c r="D157" s="16">
        <f>SUM(Tabela123674[[#All],[Kolumna3]])</f>
        <v>0</v>
      </c>
      <c r="E157" s="3">
        <f>C157-D157</f>
        <v>0</v>
      </c>
      <c r="F157" s="17" t="str">
        <f>IFERROR(D157/C157,"")</f>
        <v/>
      </c>
      <c r="G157" s="3"/>
      <c r="I157" s="11" t="s">
        <v>44</v>
      </c>
      <c r="J157" s="11" t="s">
        <v>45</v>
      </c>
      <c r="K157" s="11" t="s">
        <v>46</v>
      </c>
      <c r="L157" s="11" t="s">
        <v>47</v>
      </c>
      <c r="M157" s="11" t="s">
        <v>48</v>
      </c>
      <c r="N157" s="11" t="s">
        <v>49</v>
      </c>
      <c r="O157" s="11" t="s">
        <v>50</v>
      </c>
      <c r="P157" s="11" t="s">
        <v>51</v>
      </c>
      <c r="Q157" s="11" t="s">
        <v>52</v>
      </c>
      <c r="R157" s="11" t="s">
        <v>53</v>
      </c>
      <c r="S157" s="11" t="s">
        <v>54</v>
      </c>
      <c r="T157" s="11" t="s">
        <v>55</v>
      </c>
      <c r="U157" s="11" t="s">
        <v>56</v>
      </c>
      <c r="V157" s="11" t="s">
        <v>57</v>
      </c>
      <c r="W157" s="11" t="s">
        <v>58</v>
      </c>
      <c r="X157" s="11" t="s">
        <v>59</v>
      </c>
      <c r="Y157" s="11" t="s">
        <v>60</v>
      </c>
      <c r="Z157" s="11" t="s">
        <v>61</v>
      </c>
      <c r="AA157" s="11" t="s">
        <v>62</v>
      </c>
      <c r="AB157" s="11" t="s">
        <v>63</v>
      </c>
      <c r="AC157" s="11" t="s">
        <v>64</v>
      </c>
      <c r="AD157" s="11" t="s">
        <v>65</v>
      </c>
      <c r="AE157" s="11" t="s">
        <v>66</v>
      </c>
      <c r="AF157" s="11" t="s">
        <v>67</v>
      </c>
      <c r="AG157" s="11" t="s">
        <v>68</v>
      </c>
      <c r="AH157" s="11" t="s">
        <v>69</v>
      </c>
      <c r="AI157" s="11" t="s">
        <v>70</v>
      </c>
      <c r="AJ157" s="11" t="s">
        <v>71</v>
      </c>
      <c r="AK157" s="11" t="s">
        <v>72</v>
      </c>
      <c r="AL157" s="11" t="s">
        <v>73</v>
      </c>
      <c r="AM157" s="11" t="s">
        <v>74</v>
      </c>
      <c r="AN157" s="25"/>
      <c r="AO157" s="25"/>
    </row>
    <row r="158" spans="2:41" x14ac:dyDescent="0.2">
      <c r="B158" s="22" t="str">
        <f>'Wzorzec kategorii'!B120</f>
        <v>Artykuły szkolne</v>
      </c>
      <c r="C158" s="19">
        <v>0</v>
      </c>
      <c r="D158" s="20">
        <f>SUM(Tabela254886[#This Row])</f>
        <v>0</v>
      </c>
      <c r="E158" s="20">
        <f t="shared" ref="E158:E167" si="17">C158-D158</f>
        <v>0</v>
      </c>
      <c r="F158" s="21" t="str">
        <f t="shared" ref="F158:F167" si="18">IFERROR(D158/C158,"")</f>
        <v/>
      </c>
      <c r="G158" s="2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25"/>
      <c r="AO158" s="25"/>
    </row>
    <row r="159" spans="2:41" x14ac:dyDescent="0.2">
      <c r="B159" s="22" t="str">
        <f>'Wzorzec kategorii'!B121</f>
        <v>Dodatkowe zajęcia</v>
      </c>
      <c r="C159" s="19">
        <v>0</v>
      </c>
      <c r="D159" s="20">
        <f>SUM(Tabela254886[#This Row])</f>
        <v>0</v>
      </c>
      <c r="E159" s="20">
        <f t="shared" si="17"/>
        <v>0</v>
      </c>
      <c r="F159" s="21" t="str">
        <f t="shared" si="18"/>
        <v/>
      </c>
      <c r="G159" s="2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25"/>
      <c r="AO159" s="25"/>
    </row>
    <row r="160" spans="2:41" x14ac:dyDescent="0.2">
      <c r="B160" s="22" t="str">
        <f>'Wzorzec kategorii'!B122</f>
        <v>Wpłaty na szkołę itp.</v>
      </c>
      <c r="C160" s="19">
        <v>0</v>
      </c>
      <c r="D160" s="20">
        <f>SUM(Tabela254886[#This Row])</f>
        <v>0</v>
      </c>
      <c r="E160" s="20">
        <f t="shared" si="17"/>
        <v>0</v>
      </c>
      <c r="F160" s="21" t="str">
        <f t="shared" si="18"/>
        <v/>
      </c>
      <c r="G160" s="2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25"/>
      <c r="AO160" s="25"/>
    </row>
    <row r="161" spans="2:41" x14ac:dyDescent="0.2">
      <c r="B161" s="22" t="str">
        <f>'Wzorzec kategorii'!B123</f>
        <v>Zabawki / gry</v>
      </c>
      <c r="C161" s="19">
        <v>0</v>
      </c>
      <c r="D161" s="20">
        <f>SUM(Tabela254886[#This Row])</f>
        <v>0</v>
      </c>
      <c r="E161" s="20">
        <f t="shared" si="17"/>
        <v>0</v>
      </c>
      <c r="F161" s="21" t="str">
        <f t="shared" si="18"/>
        <v/>
      </c>
      <c r="G161" s="2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25"/>
      <c r="AO161" s="25"/>
    </row>
    <row r="162" spans="2:41" x14ac:dyDescent="0.2">
      <c r="B162" s="22" t="str">
        <f>'Wzorzec kategorii'!B124</f>
        <v>Opieka nad dziećmi</v>
      </c>
      <c r="C162" s="19">
        <v>0</v>
      </c>
      <c r="D162" s="20">
        <f>SUM(Tabela254886[#This Row])</f>
        <v>0</v>
      </c>
      <c r="E162" s="20">
        <f t="shared" si="17"/>
        <v>0</v>
      </c>
      <c r="F162" s="21" t="str">
        <f t="shared" si="18"/>
        <v/>
      </c>
      <c r="G162" s="2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25"/>
      <c r="AO162" s="25"/>
    </row>
    <row r="163" spans="2:41" x14ac:dyDescent="0.2">
      <c r="B163" s="22" t="str">
        <f>'Wzorzec kategorii'!B125</f>
        <v>Inne</v>
      </c>
      <c r="C163" s="19">
        <v>0</v>
      </c>
      <c r="D163" s="20">
        <f>SUM(Tabela254886[#This Row])</f>
        <v>0</v>
      </c>
      <c r="E163" s="20">
        <f t="shared" si="17"/>
        <v>0</v>
      </c>
      <c r="F163" s="21" t="str">
        <f t="shared" si="18"/>
        <v/>
      </c>
      <c r="G163" s="24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25"/>
      <c r="AO163" s="25"/>
    </row>
    <row r="164" spans="2:41" x14ac:dyDescent="0.2">
      <c r="B164" s="51" t="str">
        <f>'Wzorzec kategorii'!B126</f>
        <v>.</v>
      </c>
      <c r="C164" s="19">
        <v>0</v>
      </c>
      <c r="D164" s="20">
        <f>SUM(Tabela254886[#This Row])</f>
        <v>0</v>
      </c>
      <c r="E164" s="20">
        <f t="shared" si="17"/>
        <v>0</v>
      </c>
      <c r="F164" s="53" t="str">
        <f t="shared" si="18"/>
        <v/>
      </c>
      <c r="G164" s="24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25"/>
      <c r="AO164" s="25"/>
    </row>
    <row r="165" spans="2:41" x14ac:dyDescent="0.2">
      <c r="B165" s="51" t="str">
        <f>'Wzorzec kategorii'!B127</f>
        <v>.</v>
      </c>
      <c r="C165" s="19">
        <v>0</v>
      </c>
      <c r="D165" s="20">
        <f>SUM(Tabela254886[#This Row])</f>
        <v>0</v>
      </c>
      <c r="E165" s="20">
        <f t="shared" si="17"/>
        <v>0</v>
      </c>
      <c r="F165" s="53" t="str">
        <f t="shared" si="18"/>
        <v/>
      </c>
      <c r="G165" s="24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25"/>
      <c r="AO165" s="25"/>
    </row>
    <row r="166" spans="2:41" x14ac:dyDescent="0.2">
      <c r="B166" s="51" t="str">
        <f>'Wzorzec kategorii'!B128</f>
        <v>.</v>
      </c>
      <c r="C166" s="19">
        <v>0</v>
      </c>
      <c r="D166" s="20">
        <f>SUM(Tabela254886[#This Row])</f>
        <v>0</v>
      </c>
      <c r="E166" s="20">
        <f t="shared" si="17"/>
        <v>0</v>
      </c>
      <c r="F166" s="53" t="str">
        <f t="shared" si="18"/>
        <v/>
      </c>
      <c r="G166" s="24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25"/>
      <c r="AO166" s="25"/>
    </row>
    <row r="167" spans="2:41" x14ac:dyDescent="0.2">
      <c r="B167" s="51" t="str">
        <f>'Wzorzec kategorii'!B129</f>
        <v>.</v>
      </c>
      <c r="C167" s="19">
        <v>0</v>
      </c>
      <c r="D167" s="20">
        <f>SUM(Tabela254886[#This Row])</f>
        <v>0</v>
      </c>
      <c r="E167" s="20">
        <f t="shared" si="17"/>
        <v>0</v>
      </c>
      <c r="F167" s="53" t="str">
        <f t="shared" si="18"/>
        <v/>
      </c>
      <c r="G167" s="24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25"/>
      <c r="AO167" s="25"/>
    </row>
    <row r="168" spans="2:41" x14ac:dyDescent="0.2">
      <c r="B168" s="5" t="s">
        <v>30</v>
      </c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</row>
    <row r="169" spans="2:41" x14ac:dyDescent="0.2">
      <c r="B169" s="2" t="str">
        <f>'Wzorzec kategorii'!B131</f>
        <v>Rozrywka</v>
      </c>
      <c r="C169" s="3">
        <f>SUM(Tabela133775[[#All],[Kolumna2]])</f>
        <v>0</v>
      </c>
      <c r="D169" s="16">
        <f>SUM(Tabela133775[[#All],[Kolumna3]])</f>
        <v>0</v>
      </c>
      <c r="E169" s="3">
        <f>C169-D169</f>
        <v>0</v>
      </c>
      <c r="F169" s="17" t="str">
        <f>IFERROR(D169/C169,"")</f>
        <v/>
      </c>
      <c r="G169" s="3"/>
      <c r="I169" s="11" t="s">
        <v>44</v>
      </c>
      <c r="J169" s="11" t="s">
        <v>45</v>
      </c>
      <c r="K169" s="11" t="s">
        <v>46</v>
      </c>
      <c r="L169" s="11" t="s">
        <v>47</v>
      </c>
      <c r="M169" s="11" t="s">
        <v>48</v>
      </c>
      <c r="N169" s="11" t="s">
        <v>49</v>
      </c>
      <c r="O169" s="11" t="s">
        <v>50</v>
      </c>
      <c r="P169" s="11" t="s">
        <v>51</v>
      </c>
      <c r="Q169" s="11" t="s">
        <v>52</v>
      </c>
      <c r="R169" s="11" t="s">
        <v>53</v>
      </c>
      <c r="S169" s="11" t="s">
        <v>54</v>
      </c>
      <c r="T169" s="11" t="s">
        <v>55</v>
      </c>
      <c r="U169" s="11" t="s">
        <v>56</v>
      </c>
      <c r="V169" s="11" t="s">
        <v>57</v>
      </c>
      <c r="W169" s="11" t="s">
        <v>58</v>
      </c>
      <c r="X169" s="11" t="s">
        <v>59</v>
      </c>
      <c r="Y169" s="11" t="s">
        <v>60</v>
      </c>
      <c r="Z169" s="11" t="s">
        <v>61</v>
      </c>
      <c r="AA169" s="11" t="s">
        <v>62</v>
      </c>
      <c r="AB169" s="11" t="s">
        <v>63</v>
      </c>
      <c r="AC169" s="11" t="s">
        <v>64</v>
      </c>
      <c r="AD169" s="11" t="s">
        <v>65</v>
      </c>
      <c r="AE169" s="11" t="s">
        <v>66</v>
      </c>
      <c r="AF169" s="11" t="s">
        <v>67</v>
      </c>
      <c r="AG169" s="11" t="s">
        <v>68</v>
      </c>
      <c r="AH169" s="11" t="s">
        <v>69</v>
      </c>
      <c r="AI169" s="11" t="s">
        <v>70</v>
      </c>
      <c r="AJ169" s="11" t="s">
        <v>71</v>
      </c>
      <c r="AK169" s="11" t="s">
        <v>72</v>
      </c>
      <c r="AL169" s="11" t="s">
        <v>73</v>
      </c>
      <c r="AM169" s="11" t="s">
        <v>74</v>
      </c>
      <c r="AN169" s="25"/>
      <c r="AO169" s="25"/>
    </row>
    <row r="170" spans="2:41" x14ac:dyDescent="0.2">
      <c r="B170" s="22" t="str">
        <f>'Wzorzec kategorii'!B132</f>
        <v>Siłownia / Basen</v>
      </c>
      <c r="C170" s="19">
        <v>0</v>
      </c>
      <c r="D170" s="20">
        <f>SUM(Tabela264987[#This Row])</f>
        <v>0</v>
      </c>
      <c r="E170" s="20">
        <f t="shared" ref="E170:E179" si="19">C170-D170</f>
        <v>0</v>
      </c>
      <c r="F170" s="21" t="str">
        <f t="shared" ref="F170:F179" si="20">IFERROR(D170/C170,"")</f>
        <v/>
      </c>
      <c r="G170" s="24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25"/>
      <c r="AO170" s="25"/>
    </row>
    <row r="171" spans="2:41" x14ac:dyDescent="0.2">
      <c r="B171" s="22" t="str">
        <f>'Wzorzec kategorii'!B133</f>
        <v>Kino / Teatr</v>
      </c>
      <c r="C171" s="19">
        <v>0</v>
      </c>
      <c r="D171" s="20">
        <f>SUM(Tabela264987[#This Row])</f>
        <v>0</v>
      </c>
      <c r="E171" s="20">
        <f t="shared" si="19"/>
        <v>0</v>
      </c>
      <c r="F171" s="21" t="str">
        <f t="shared" si="20"/>
        <v/>
      </c>
      <c r="G171" s="24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25"/>
      <c r="AO171" s="25"/>
    </row>
    <row r="172" spans="2:41" x14ac:dyDescent="0.2">
      <c r="B172" s="22" t="str">
        <f>'Wzorzec kategorii'!B134</f>
        <v>Koncerty</v>
      </c>
      <c r="C172" s="19">
        <v>0</v>
      </c>
      <c r="D172" s="20">
        <f>SUM(Tabela264987[#This Row])</f>
        <v>0</v>
      </c>
      <c r="E172" s="20">
        <f t="shared" si="19"/>
        <v>0</v>
      </c>
      <c r="F172" s="21" t="str">
        <f t="shared" si="20"/>
        <v/>
      </c>
      <c r="G172" s="24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25"/>
      <c r="AO172" s="25"/>
    </row>
    <row r="173" spans="2:41" x14ac:dyDescent="0.2">
      <c r="B173" s="22" t="str">
        <f>'Wzorzec kategorii'!B135</f>
        <v>Czasopisma</v>
      </c>
      <c r="C173" s="19">
        <v>0</v>
      </c>
      <c r="D173" s="20">
        <f>SUM(Tabela264987[#This Row])</f>
        <v>0</v>
      </c>
      <c r="E173" s="20">
        <f t="shared" si="19"/>
        <v>0</v>
      </c>
      <c r="F173" s="21" t="str">
        <f t="shared" si="20"/>
        <v/>
      </c>
      <c r="G173" s="24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25"/>
      <c r="AO173" s="25"/>
    </row>
    <row r="174" spans="2:41" x14ac:dyDescent="0.2">
      <c r="B174" s="22" t="str">
        <f>'Wzorzec kategorii'!B136</f>
        <v>Książki</v>
      </c>
      <c r="C174" s="19">
        <v>0</v>
      </c>
      <c r="D174" s="20">
        <f>SUM(Tabela264987[#This Row])</f>
        <v>0</v>
      </c>
      <c r="E174" s="20">
        <f t="shared" si="19"/>
        <v>0</v>
      </c>
      <c r="F174" s="21" t="str">
        <f t="shared" si="20"/>
        <v/>
      </c>
      <c r="G174" s="24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25"/>
      <c r="AO174" s="25"/>
    </row>
    <row r="175" spans="2:41" x14ac:dyDescent="0.2">
      <c r="B175" s="22" t="str">
        <f>'Wzorzec kategorii'!B137</f>
        <v>Hobby</v>
      </c>
      <c r="C175" s="19">
        <v>0</v>
      </c>
      <c r="D175" s="20">
        <f>SUM(Tabela264987[#This Row])</f>
        <v>0</v>
      </c>
      <c r="E175" s="20">
        <f t="shared" si="19"/>
        <v>0</v>
      </c>
      <c r="F175" s="21" t="str">
        <f t="shared" si="20"/>
        <v/>
      </c>
      <c r="G175" s="24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25"/>
      <c r="AO175" s="25"/>
    </row>
    <row r="176" spans="2:41" x14ac:dyDescent="0.2">
      <c r="B176" s="22" t="str">
        <f>'Wzorzec kategorii'!B138</f>
        <v>Hotel / Turystyka</v>
      </c>
      <c r="C176" s="19">
        <v>0</v>
      </c>
      <c r="D176" s="20">
        <f>SUM(Tabela264987[#This Row])</f>
        <v>0</v>
      </c>
      <c r="E176" s="20">
        <f t="shared" si="19"/>
        <v>0</v>
      </c>
      <c r="F176" s="21" t="str">
        <f t="shared" si="20"/>
        <v/>
      </c>
      <c r="G176" s="24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25"/>
      <c r="AO176" s="25"/>
    </row>
    <row r="177" spans="2:41" x14ac:dyDescent="0.2">
      <c r="B177" s="22" t="str">
        <f>'Wzorzec kategorii'!B139</f>
        <v>Inne</v>
      </c>
      <c r="C177" s="19">
        <v>0</v>
      </c>
      <c r="D177" s="20">
        <f>SUM(Tabela264987[#This Row])</f>
        <v>0</v>
      </c>
      <c r="E177" s="20">
        <f t="shared" si="19"/>
        <v>0</v>
      </c>
      <c r="F177" s="21" t="str">
        <f t="shared" si="20"/>
        <v/>
      </c>
      <c r="G177" s="24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25"/>
      <c r="AO177" s="25"/>
    </row>
    <row r="178" spans="2:41" x14ac:dyDescent="0.2">
      <c r="B178" s="22" t="str">
        <f>'Wzorzec kategorii'!B140</f>
        <v>.</v>
      </c>
      <c r="C178" s="19">
        <v>0</v>
      </c>
      <c r="D178" s="20">
        <f>SUM(Tabela264987[#This Row])</f>
        <v>0</v>
      </c>
      <c r="E178" s="20">
        <f t="shared" si="19"/>
        <v>0</v>
      </c>
      <c r="F178" s="53" t="str">
        <f t="shared" si="20"/>
        <v/>
      </c>
      <c r="G178" s="54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25"/>
      <c r="AO178" s="25"/>
    </row>
    <row r="179" spans="2:41" x14ac:dyDescent="0.2">
      <c r="B179" s="22" t="str">
        <f>'Wzorzec kategorii'!B141</f>
        <v>.</v>
      </c>
      <c r="C179" s="19">
        <v>0</v>
      </c>
      <c r="D179" s="20">
        <f>SUM(Tabela264987[#This Row])</f>
        <v>0</v>
      </c>
      <c r="E179" s="20">
        <f t="shared" si="19"/>
        <v>0</v>
      </c>
      <c r="F179" s="53" t="str">
        <f t="shared" si="20"/>
        <v/>
      </c>
      <c r="G179" s="54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25"/>
      <c r="AO179" s="25"/>
    </row>
    <row r="180" spans="2:41" x14ac:dyDescent="0.2">
      <c r="B180" s="5" t="s">
        <v>30</v>
      </c>
      <c r="AN180" s="25"/>
      <c r="AO180" s="25"/>
    </row>
    <row r="181" spans="2:41" x14ac:dyDescent="0.2">
      <c r="B181" s="2" t="str">
        <f>'Wzorzec kategorii'!B143</f>
        <v>Inne wydatki</v>
      </c>
      <c r="C181" s="3">
        <f>SUM(Tabela143876[[#All],[Kolumna2]])</f>
        <v>0</v>
      </c>
      <c r="D181" s="16">
        <f>SUM(Tabela143876[[#All],[Kolumna3]])</f>
        <v>0</v>
      </c>
      <c r="E181" s="3">
        <f>C181-D181</f>
        <v>0</v>
      </c>
      <c r="F181" s="17" t="str">
        <f>IFERROR(D181/C181,"")</f>
        <v/>
      </c>
      <c r="G181" s="3"/>
      <c r="I181" s="11" t="s">
        <v>44</v>
      </c>
      <c r="J181" s="11" t="s">
        <v>45</v>
      </c>
      <c r="K181" s="11" t="s">
        <v>46</v>
      </c>
      <c r="L181" s="11" t="s">
        <v>47</v>
      </c>
      <c r="M181" s="11" t="s">
        <v>48</v>
      </c>
      <c r="N181" s="11" t="s">
        <v>49</v>
      </c>
      <c r="O181" s="11" t="s">
        <v>50</v>
      </c>
      <c r="P181" s="11" t="s">
        <v>51</v>
      </c>
      <c r="Q181" s="11" t="s">
        <v>52</v>
      </c>
      <c r="R181" s="11" t="s">
        <v>53</v>
      </c>
      <c r="S181" s="11" t="s">
        <v>54</v>
      </c>
      <c r="T181" s="11" t="s">
        <v>55</v>
      </c>
      <c r="U181" s="11" t="s">
        <v>56</v>
      </c>
      <c r="V181" s="11" t="s">
        <v>57</v>
      </c>
      <c r="W181" s="11" t="s">
        <v>58</v>
      </c>
      <c r="X181" s="11" t="s">
        <v>59</v>
      </c>
      <c r="Y181" s="11" t="s">
        <v>60</v>
      </c>
      <c r="Z181" s="11" t="s">
        <v>61</v>
      </c>
      <c r="AA181" s="11" t="s">
        <v>62</v>
      </c>
      <c r="AB181" s="11" t="s">
        <v>63</v>
      </c>
      <c r="AC181" s="11" t="s">
        <v>64</v>
      </c>
      <c r="AD181" s="11" t="s">
        <v>65</v>
      </c>
      <c r="AE181" s="11" t="s">
        <v>66</v>
      </c>
      <c r="AF181" s="11" t="s">
        <v>67</v>
      </c>
      <c r="AG181" s="11" t="s">
        <v>68</v>
      </c>
      <c r="AH181" s="11" t="s">
        <v>69</v>
      </c>
      <c r="AI181" s="11" t="s">
        <v>70</v>
      </c>
      <c r="AJ181" s="11" t="s">
        <v>71</v>
      </c>
      <c r="AK181" s="11" t="s">
        <v>72</v>
      </c>
      <c r="AL181" s="11" t="s">
        <v>73</v>
      </c>
      <c r="AM181" s="11" t="s">
        <v>74</v>
      </c>
      <c r="AN181" s="25"/>
      <c r="AO181" s="25"/>
    </row>
    <row r="182" spans="2:41" x14ac:dyDescent="0.2">
      <c r="B182" s="22" t="str">
        <f>'Wzorzec kategorii'!B144</f>
        <v>Dobroczynność</v>
      </c>
      <c r="C182" s="19">
        <v>0</v>
      </c>
      <c r="D182" s="20">
        <f>SUM(Tabela275088[#This Row])</f>
        <v>0</v>
      </c>
      <c r="E182" s="20">
        <f t="shared" ref="E182:E191" si="21">C182-D182</f>
        <v>0</v>
      </c>
      <c r="F182" s="21" t="str">
        <f t="shared" ref="F182:F191" si="22">IFERROR(D182/C182,"")</f>
        <v/>
      </c>
      <c r="G182" s="24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25"/>
      <c r="AO182" s="25"/>
    </row>
    <row r="183" spans="2:41" x14ac:dyDescent="0.2">
      <c r="B183" s="22" t="str">
        <f>'Wzorzec kategorii'!B145</f>
        <v>Prezenty</v>
      </c>
      <c r="C183" s="19">
        <v>0</v>
      </c>
      <c r="D183" s="20">
        <f>SUM(Tabela275088[#This Row])</f>
        <v>0</v>
      </c>
      <c r="E183" s="20">
        <f t="shared" si="21"/>
        <v>0</v>
      </c>
      <c r="F183" s="21" t="str">
        <f t="shared" si="22"/>
        <v/>
      </c>
      <c r="G183" s="24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25"/>
      <c r="AO183" s="25"/>
    </row>
    <row r="184" spans="2:41" x14ac:dyDescent="0.2">
      <c r="B184" s="22" t="str">
        <f>'Wzorzec kategorii'!B146</f>
        <v>Sprzęt RTV</v>
      </c>
      <c r="C184" s="19">
        <v>0</v>
      </c>
      <c r="D184" s="20">
        <f>SUM(Tabela275088[#This Row])</f>
        <v>0</v>
      </c>
      <c r="E184" s="20">
        <f t="shared" si="21"/>
        <v>0</v>
      </c>
      <c r="F184" s="21" t="str">
        <f t="shared" si="22"/>
        <v/>
      </c>
      <c r="G184" s="24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25"/>
      <c r="AO184" s="25"/>
    </row>
    <row r="185" spans="2:41" x14ac:dyDescent="0.2">
      <c r="B185" s="22" t="str">
        <f>'Wzorzec kategorii'!B147</f>
        <v>Oprogramowanie</v>
      </c>
      <c r="C185" s="19">
        <v>0</v>
      </c>
      <c r="D185" s="20">
        <f>SUM(Tabela275088[#This Row])</f>
        <v>0</v>
      </c>
      <c r="E185" s="20">
        <f t="shared" si="21"/>
        <v>0</v>
      </c>
      <c r="F185" s="21" t="str">
        <f t="shared" si="22"/>
        <v/>
      </c>
      <c r="G185" s="24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25"/>
      <c r="AO185" s="25"/>
    </row>
    <row r="186" spans="2:41" x14ac:dyDescent="0.2">
      <c r="B186" s="22" t="str">
        <f>'Wzorzec kategorii'!B148</f>
        <v>Edukacja / Szkolenia</v>
      </c>
      <c r="C186" s="19">
        <v>0</v>
      </c>
      <c r="D186" s="20">
        <f>SUM(Tabela275088[#This Row])</f>
        <v>0</v>
      </c>
      <c r="E186" s="20">
        <f t="shared" si="21"/>
        <v>0</v>
      </c>
      <c r="F186" s="21" t="str">
        <f t="shared" si="22"/>
        <v/>
      </c>
      <c r="G186" s="24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25"/>
      <c r="AO186" s="25"/>
    </row>
    <row r="187" spans="2:41" x14ac:dyDescent="0.2">
      <c r="B187" s="22" t="str">
        <f>'Wzorzec kategorii'!B149</f>
        <v>Usługi inne</v>
      </c>
      <c r="C187" s="19">
        <v>0</v>
      </c>
      <c r="D187" s="20">
        <f>SUM(Tabela275088[#This Row])</f>
        <v>0</v>
      </c>
      <c r="E187" s="20">
        <f t="shared" si="21"/>
        <v>0</v>
      </c>
      <c r="F187" s="21" t="str">
        <f t="shared" si="22"/>
        <v/>
      </c>
      <c r="G187" s="24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25"/>
      <c r="AO187" s="25"/>
    </row>
    <row r="188" spans="2:41" x14ac:dyDescent="0.2">
      <c r="B188" s="22" t="str">
        <f>'Wzorzec kategorii'!B150</f>
        <v>Podatki</v>
      </c>
      <c r="C188" s="19">
        <v>0</v>
      </c>
      <c r="D188" s="20">
        <f>SUM(Tabela275088[#This Row])</f>
        <v>0</v>
      </c>
      <c r="E188" s="20">
        <f t="shared" si="21"/>
        <v>0</v>
      </c>
      <c r="F188" s="21" t="str">
        <f t="shared" si="22"/>
        <v/>
      </c>
      <c r="G188" s="24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25"/>
      <c r="AO188" s="25"/>
    </row>
    <row r="189" spans="2:41" x14ac:dyDescent="0.2">
      <c r="B189" s="22" t="str">
        <f>'Wzorzec kategorii'!B151</f>
        <v>Inne</v>
      </c>
      <c r="C189" s="19">
        <v>0</v>
      </c>
      <c r="D189" s="20">
        <f>SUM(Tabela275088[#This Row])</f>
        <v>0</v>
      </c>
      <c r="E189" s="20">
        <f t="shared" si="21"/>
        <v>0</v>
      </c>
      <c r="F189" s="21" t="str">
        <f t="shared" si="22"/>
        <v/>
      </c>
      <c r="G189" s="24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25"/>
      <c r="AO189" s="25"/>
    </row>
    <row r="190" spans="2:41" x14ac:dyDescent="0.2">
      <c r="B190" s="22" t="str">
        <f>'Wzorzec kategorii'!B152</f>
        <v>.</v>
      </c>
      <c r="C190" s="19">
        <v>0</v>
      </c>
      <c r="D190" s="20">
        <f>SUM(Tabela275088[#This Row])</f>
        <v>0</v>
      </c>
      <c r="E190" s="20">
        <f t="shared" si="21"/>
        <v>0</v>
      </c>
      <c r="F190" s="53" t="str">
        <f t="shared" si="22"/>
        <v/>
      </c>
      <c r="G190" s="54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25"/>
      <c r="AO190" s="25"/>
    </row>
    <row r="191" spans="2:41" x14ac:dyDescent="0.2">
      <c r="B191" s="22" t="str">
        <f>'Wzorzec kategorii'!B153</f>
        <v>.</v>
      </c>
      <c r="C191" s="19">
        <v>0</v>
      </c>
      <c r="D191" s="20">
        <f>SUM(Tabela275088[#This Row])</f>
        <v>0</v>
      </c>
      <c r="E191" s="20">
        <f t="shared" si="21"/>
        <v>0</v>
      </c>
      <c r="F191" s="53" t="str">
        <f t="shared" si="22"/>
        <v/>
      </c>
      <c r="G191" s="54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25"/>
      <c r="AO191" s="25"/>
    </row>
    <row r="192" spans="2:41" x14ac:dyDescent="0.2">
      <c r="B192" s="5" t="s">
        <v>30</v>
      </c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</row>
    <row r="193" spans="2:41" x14ac:dyDescent="0.2">
      <c r="B193" s="2" t="str">
        <f>'Wzorzec kategorii'!B155</f>
        <v>Spłata długów</v>
      </c>
      <c r="C193" s="3">
        <f>SUM(Tabela153977[[#All],[Kolumna2]])</f>
        <v>0</v>
      </c>
      <c r="D193" s="16">
        <f>SUM(Tabela153977[[#All],[Kolumna3]])</f>
        <v>0</v>
      </c>
      <c r="E193" s="3">
        <f>C193-D193</f>
        <v>0</v>
      </c>
      <c r="F193" s="17" t="str">
        <f>IFERROR(D193/C193,"")</f>
        <v/>
      </c>
      <c r="G193" s="3"/>
      <c r="I193" s="11" t="s">
        <v>44</v>
      </c>
      <c r="J193" s="11" t="s">
        <v>45</v>
      </c>
      <c r="K193" s="11" t="s">
        <v>46</v>
      </c>
      <c r="L193" s="11" t="s">
        <v>47</v>
      </c>
      <c r="M193" s="11" t="s">
        <v>48</v>
      </c>
      <c r="N193" s="11" t="s">
        <v>49</v>
      </c>
      <c r="O193" s="11" t="s">
        <v>50</v>
      </c>
      <c r="P193" s="11" t="s">
        <v>51</v>
      </c>
      <c r="Q193" s="11" t="s">
        <v>52</v>
      </c>
      <c r="R193" s="11" t="s">
        <v>53</v>
      </c>
      <c r="S193" s="11" t="s">
        <v>54</v>
      </c>
      <c r="T193" s="11" t="s">
        <v>55</v>
      </c>
      <c r="U193" s="11" t="s">
        <v>56</v>
      </c>
      <c r="V193" s="11" t="s">
        <v>57</v>
      </c>
      <c r="W193" s="11" t="s">
        <v>58</v>
      </c>
      <c r="X193" s="11" t="s">
        <v>59</v>
      </c>
      <c r="Y193" s="11" t="s">
        <v>60</v>
      </c>
      <c r="Z193" s="11" t="s">
        <v>61</v>
      </c>
      <c r="AA193" s="11" t="s">
        <v>62</v>
      </c>
      <c r="AB193" s="11" t="s">
        <v>63</v>
      </c>
      <c r="AC193" s="11" t="s">
        <v>64</v>
      </c>
      <c r="AD193" s="11" t="s">
        <v>65</v>
      </c>
      <c r="AE193" s="11" t="s">
        <v>66</v>
      </c>
      <c r="AF193" s="11" t="s">
        <v>67</v>
      </c>
      <c r="AG193" s="11" t="s">
        <v>68</v>
      </c>
      <c r="AH193" s="11" t="s">
        <v>69</v>
      </c>
      <c r="AI193" s="11" t="s">
        <v>70</v>
      </c>
      <c r="AJ193" s="11" t="s">
        <v>71</v>
      </c>
      <c r="AK193" s="11" t="s">
        <v>72</v>
      </c>
      <c r="AL193" s="11" t="s">
        <v>73</v>
      </c>
      <c r="AM193" s="11" t="s">
        <v>74</v>
      </c>
      <c r="AN193" s="25"/>
      <c r="AO193" s="25"/>
    </row>
    <row r="194" spans="2:41" x14ac:dyDescent="0.2">
      <c r="B194" s="22" t="str">
        <f>'Wzorzec kategorii'!B156</f>
        <v>Kredyt hipoteczny</v>
      </c>
      <c r="C194" s="19">
        <v>0</v>
      </c>
      <c r="D194" s="20">
        <f>SUM(Tabela285189[#This Row])</f>
        <v>0</v>
      </c>
      <c r="E194" s="20">
        <f t="shared" ref="E194:E203" si="23">C194-D194</f>
        <v>0</v>
      </c>
      <c r="F194" s="21" t="str">
        <f t="shared" ref="F194:F203" si="24">IFERROR(D194/C194,"")</f>
        <v/>
      </c>
      <c r="G194" s="24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25"/>
      <c r="AO194" s="25"/>
    </row>
    <row r="195" spans="2:41" x14ac:dyDescent="0.2">
      <c r="B195" s="22" t="str">
        <f>'Wzorzec kategorii'!B157</f>
        <v>Kredyt konsumpcyjny</v>
      </c>
      <c r="C195" s="19">
        <v>0</v>
      </c>
      <c r="D195" s="20">
        <f>SUM(Tabela285189[#This Row])</f>
        <v>0</v>
      </c>
      <c r="E195" s="20">
        <f t="shared" si="23"/>
        <v>0</v>
      </c>
      <c r="F195" s="21" t="str">
        <f t="shared" si="24"/>
        <v/>
      </c>
      <c r="G195" s="24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25"/>
      <c r="AO195" s="25"/>
    </row>
    <row r="196" spans="2:41" x14ac:dyDescent="0.2">
      <c r="B196" s="22" t="str">
        <f>'Wzorzec kategorii'!B158</f>
        <v>Pożyczka osobista</v>
      </c>
      <c r="C196" s="19">
        <v>0</v>
      </c>
      <c r="D196" s="20">
        <f>SUM(Tabela285189[#This Row])</f>
        <v>0</v>
      </c>
      <c r="E196" s="20">
        <f t="shared" si="23"/>
        <v>0</v>
      </c>
      <c r="F196" s="21" t="str">
        <f t="shared" si="24"/>
        <v/>
      </c>
      <c r="G196" s="24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25"/>
      <c r="AO196" s="25"/>
    </row>
    <row r="197" spans="2:41" x14ac:dyDescent="0.2">
      <c r="B197" s="22" t="str">
        <f>'Wzorzec kategorii'!B159</f>
        <v>Inne</v>
      </c>
      <c r="C197" s="19">
        <v>0</v>
      </c>
      <c r="D197" s="20">
        <f>SUM(Tabela285189[#This Row])</f>
        <v>0</v>
      </c>
      <c r="E197" s="20">
        <f t="shared" si="23"/>
        <v>0</v>
      </c>
      <c r="F197" s="21" t="str">
        <f t="shared" si="24"/>
        <v/>
      </c>
      <c r="G197" s="24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25"/>
      <c r="AO197" s="25"/>
    </row>
    <row r="198" spans="2:41" x14ac:dyDescent="0.2">
      <c r="B198" s="22" t="str">
        <f>'Wzorzec kategorii'!B160</f>
        <v>.</v>
      </c>
      <c r="C198" s="19">
        <v>0</v>
      </c>
      <c r="D198" s="20">
        <f>SUM(Tabela285189[#This Row])</f>
        <v>0</v>
      </c>
      <c r="E198" s="20">
        <f t="shared" si="23"/>
        <v>0</v>
      </c>
      <c r="F198" s="21" t="str">
        <f t="shared" si="24"/>
        <v/>
      </c>
      <c r="G198" s="24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25"/>
      <c r="AO198" s="25"/>
    </row>
    <row r="199" spans="2:41" x14ac:dyDescent="0.2">
      <c r="B199" s="22" t="str">
        <f>'Wzorzec kategorii'!B161</f>
        <v>.</v>
      </c>
      <c r="C199" s="19">
        <v>0</v>
      </c>
      <c r="D199" s="20">
        <f>SUM(Tabela285189[#This Row])</f>
        <v>0</v>
      </c>
      <c r="E199" s="20">
        <f t="shared" si="23"/>
        <v>0</v>
      </c>
      <c r="F199" s="21" t="str">
        <f t="shared" si="24"/>
        <v/>
      </c>
      <c r="G199" s="24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25"/>
      <c r="AO199" s="25"/>
    </row>
    <row r="200" spans="2:41" x14ac:dyDescent="0.2">
      <c r="B200" s="22" t="str">
        <f>'Wzorzec kategorii'!B162</f>
        <v>.</v>
      </c>
      <c r="C200" s="19">
        <v>0</v>
      </c>
      <c r="D200" s="20">
        <f>SUM(Tabela285189[#This Row])</f>
        <v>0</v>
      </c>
      <c r="E200" s="20">
        <f t="shared" si="23"/>
        <v>0</v>
      </c>
      <c r="F200" s="53" t="str">
        <f t="shared" si="24"/>
        <v/>
      </c>
      <c r="G200" s="54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25"/>
      <c r="AO200" s="25"/>
    </row>
    <row r="201" spans="2:41" x14ac:dyDescent="0.2">
      <c r="B201" s="22" t="str">
        <f>'Wzorzec kategorii'!B163</f>
        <v>.</v>
      </c>
      <c r="C201" s="19">
        <v>0</v>
      </c>
      <c r="D201" s="20">
        <f>SUM(Tabela285189[#This Row])</f>
        <v>0</v>
      </c>
      <c r="E201" s="20">
        <f t="shared" si="23"/>
        <v>0</v>
      </c>
      <c r="F201" s="53" t="str">
        <f t="shared" si="24"/>
        <v/>
      </c>
      <c r="G201" s="54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25"/>
      <c r="AO201" s="25"/>
    </row>
    <row r="202" spans="2:41" x14ac:dyDescent="0.2">
      <c r="B202" s="22" t="str">
        <f>'Wzorzec kategorii'!B164</f>
        <v>.</v>
      </c>
      <c r="C202" s="19">
        <v>0</v>
      </c>
      <c r="D202" s="20">
        <f>SUM(Tabela285189[#This Row])</f>
        <v>0</v>
      </c>
      <c r="E202" s="20">
        <f t="shared" si="23"/>
        <v>0</v>
      </c>
      <c r="F202" s="53" t="str">
        <f t="shared" si="24"/>
        <v/>
      </c>
      <c r="G202" s="54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25"/>
      <c r="AO202" s="25"/>
    </row>
    <row r="203" spans="2:41" x14ac:dyDescent="0.2">
      <c r="B203" s="22" t="str">
        <f>'Wzorzec kategorii'!B165</f>
        <v>.</v>
      </c>
      <c r="C203" s="19">
        <v>0</v>
      </c>
      <c r="D203" s="20">
        <f>SUM(Tabela285189[#This Row])</f>
        <v>0</v>
      </c>
      <c r="E203" s="20">
        <f t="shared" si="23"/>
        <v>0</v>
      </c>
      <c r="F203" s="53" t="str">
        <f t="shared" si="24"/>
        <v/>
      </c>
      <c r="G203" s="54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25"/>
      <c r="AO203" s="25"/>
    </row>
    <row r="204" spans="2:41" x14ac:dyDescent="0.2">
      <c r="B204" s="5" t="s">
        <v>30</v>
      </c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</row>
    <row r="205" spans="2:41" x14ac:dyDescent="0.2">
      <c r="B205" s="2" t="str">
        <f>'Wzorzec kategorii'!B167</f>
        <v>Budowanie oszczędności</v>
      </c>
      <c r="C205" s="3">
        <f>SUM(Tabela164078[[#All],[Kolumna2]])</f>
        <v>0</v>
      </c>
      <c r="D205" s="16">
        <f>SUM(Tabela164078[[#All],[Kolumna3]])</f>
        <v>0</v>
      </c>
      <c r="E205" s="3">
        <f>C205-D205</f>
        <v>0</v>
      </c>
      <c r="F205" s="17" t="str">
        <f>IFERROR(D205/C205,"")</f>
        <v/>
      </c>
      <c r="G205" s="3"/>
      <c r="I205" s="11" t="s">
        <v>44</v>
      </c>
      <c r="J205" s="11" t="s">
        <v>45</v>
      </c>
      <c r="K205" s="11" t="s">
        <v>46</v>
      </c>
      <c r="L205" s="11" t="s">
        <v>47</v>
      </c>
      <c r="M205" s="11" t="s">
        <v>48</v>
      </c>
      <c r="N205" s="11" t="s">
        <v>49</v>
      </c>
      <c r="O205" s="11" t="s">
        <v>50</v>
      </c>
      <c r="P205" s="11" t="s">
        <v>51</v>
      </c>
      <c r="Q205" s="11" t="s">
        <v>52</v>
      </c>
      <c r="R205" s="11" t="s">
        <v>53</v>
      </c>
      <c r="S205" s="11" t="s">
        <v>54</v>
      </c>
      <c r="T205" s="11" t="s">
        <v>55</v>
      </c>
      <c r="U205" s="11" t="s">
        <v>56</v>
      </c>
      <c r="V205" s="11" t="s">
        <v>57</v>
      </c>
      <c r="W205" s="11" t="s">
        <v>58</v>
      </c>
      <c r="X205" s="11" t="s">
        <v>59</v>
      </c>
      <c r="Y205" s="11" t="s">
        <v>60</v>
      </c>
      <c r="Z205" s="11" t="s">
        <v>61</v>
      </c>
      <c r="AA205" s="11" t="s">
        <v>62</v>
      </c>
      <c r="AB205" s="11" t="s">
        <v>63</v>
      </c>
      <c r="AC205" s="11" t="s">
        <v>64</v>
      </c>
      <c r="AD205" s="11" t="s">
        <v>65</v>
      </c>
      <c r="AE205" s="11" t="s">
        <v>66</v>
      </c>
      <c r="AF205" s="11" t="s">
        <v>67</v>
      </c>
      <c r="AG205" s="11" t="s">
        <v>68</v>
      </c>
      <c r="AH205" s="11" t="s">
        <v>69</v>
      </c>
      <c r="AI205" s="11" t="s">
        <v>70</v>
      </c>
      <c r="AJ205" s="11" t="s">
        <v>71</v>
      </c>
      <c r="AK205" s="11" t="s">
        <v>72</v>
      </c>
      <c r="AL205" s="11" t="s">
        <v>73</v>
      </c>
      <c r="AM205" s="11" t="s">
        <v>74</v>
      </c>
      <c r="AN205" s="25"/>
      <c r="AO205" s="25"/>
    </row>
    <row r="206" spans="2:41" x14ac:dyDescent="0.2">
      <c r="B206" s="22" t="str">
        <f>'Wzorzec kategorii'!B168</f>
        <v>Fundusz awaryjny</v>
      </c>
      <c r="C206" s="19">
        <v>0</v>
      </c>
      <c r="D206" s="20">
        <f>SUM(Tabela19234583[#This Row])</f>
        <v>0</v>
      </c>
      <c r="E206" s="20">
        <f t="shared" ref="E206:E215" si="25">C206-D206</f>
        <v>0</v>
      </c>
      <c r="F206" s="21" t="str">
        <f t="shared" ref="F206:F215" si="26">IFERROR(D206/C206,"")</f>
        <v/>
      </c>
      <c r="G206" s="24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25"/>
      <c r="AO206" s="25"/>
    </row>
    <row r="207" spans="2:41" ht="30" x14ac:dyDescent="0.2">
      <c r="B207" s="22" t="str">
        <f>'Wzorzec kategorii'!B169</f>
        <v>Fundusz wydatków nieregularnych</v>
      </c>
      <c r="C207" s="19">
        <v>0</v>
      </c>
      <c r="D207" s="20">
        <f>SUM(Tabela19234583[#This Row])</f>
        <v>0</v>
      </c>
      <c r="E207" s="20">
        <f t="shared" si="25"/>
        <v>0</v>
      </c>
      <c r="F207" s="21" t="str">
        <f t="shared" si="26"/>
        <v/>
      </c>
      <c r="G207" s="24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25"/>
      <c r="AO207" s="25"/>
    </row>
    <row r="208" spans="2:41" x14ac:dyDescent="0.2">
      <c r="B208" s="22" t="str">
        <f>'Wzorzec kategorii'!B170</f>
        <v>Poduszka finansowa</v>
      </c>
      <c r="C208" s="19">
        <v>0</v>
      </c>
      <c r="D208" s="20">
        <f>SUM(Tabela19234583[#This Row])</f>
        <v>0</v>
      </c>
      <c r="E208" s="20">
        <f t="shared" si="25"/>
        <v>0</v>
      </c>
      <c r="F208" s="21" t="str">
        <f t="shared" si="26"/>
        <v/>
      </c>
      <c r="G208" s="24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25"/>
      <c r="AO208" s="25"/>
    </row>
    <row r="209" spans="2:41" x14ac:dyDescent="0.2">
      <c r="B209" s="22" t="str">
        <f>'Wzorzec kategorii'!B171</f>
        <v>Konto emerytalne IKE/IKZE</v>
      </c>
      <c r="C209" s="19">
        <v>0</v>
      </c>
      <c r="D209" s="20">
        <f>SUM(Tabela19234583[#This Row])</f>
        <v>0</v>
      </c>
      <c r="E209" s="20">
        <f t="shared" si="25"/>
        <v>0</v>
      </c>
      <c r="F209" s="21" t="str">
        <f t="shared" si="26"/>
        <v/>
      </c>
      <c r="G209" s="24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25"/>
      <c r="AO209" s="25"/>
    </row>
    <row r="210" spans="2:41" x14ac:dyDescent="0.2">
      <c r="B210" s="22" t="str">
        <f>'Wzorzec kategorii'!B172</f>
        <v>Nadpłata długów</v>
      </c>
      <c r="C210" s="19">
        <v>0</v>
      </c>
      <c r="D210" s="20">
        <f>SUM(Tabela19234583[#This Row])</f>
        <v>0</v>
      </c>
      <c r="E210" s="20">
        <f t="shared" si="25"/>
        <v>0</v>
      </c>
      <c r="F210" s="21" t="str">
        <f t="shared" si="26"/>
        <v/>
      </c>
      <c r="G210" s="24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25"/>
      <c r="AO210" s="25"/>
    </row>
    <row r="211" spans="2:41" x14ac:dyDescent="0.2">
      <c r="B211" s="22" t="str">
        <f>'Wzorzec kategorii'!B173</f>
        <v>Fundusz: wakacje</v>
      </c>
      <c r="C211" s="19">
        <v>0</v>
      </c>
      <c r="D211" s="20">
        <f>SUM(Tabela19234583[#This Row])</f>
        <v>0</v>
      </c>
      <c r="E211" s="20">
        <f t="shared" si="25"/>
        <v>0</v>
      </c>
      <c r="F211" s="21" t="str">
        <f t="shared" si="26"/>
        <v/>
      </c>
      <c r="G211" s="24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25"/>
      <c r="AO211" s="25"/>
    </row>
    <row r="212" spans="2:41" x14ac:dyDescent="0.2">
      <c r="B212" s="22" t="str">
        <f>'Wzorzec kategorii'!B174</f>
        <v>Fundusz: prezenty świąteczne</v>
      </c>
      <c r="C212" s="19">
        <v>0</v>
      </c>
      <c r="D212" s="20">
        <f>SUM(Tabela19234583[#This Row])</f>
        <v>0</v>
      </c>
      <c r="E212" s="20">
        <f t="shared" si="25"/>
        <v>0</v>
      </c>
      <c r="F212" s="21" t="str">
        <f t="shared" si="26"/>
        <v/>
      </c>
      <c r="G212" s="24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25"/>
      <c r="AO212" s="25"/>
    </row>
    <row r="213" spans="2:41" x14ac:dyDescent="0.2">
      <c r="B213" s="22" t="str">
        <f>'Wzorzec kategorii'!B175</f>
        <v>Inne</v>
      </c>
      <c r="C213" s="19">
        <v>0</v>
      </c>
      <c r="D213" s="20">
        <f>SUM(Tabela19234583[#This Row])</f>
        <v>0</v>
      </c>
      <c r="E213" s="20">
        <f t="shared" si="25"/>
        <v>0</v>
      </c>
      <c r="F213" s="21" t="str">
        <f t="shared" si="26"/>
        <v/>
      </c>
      <c r="G213" s="24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25"/>
      <c r="AO213" s="25"/>
    </row>
    <row r="214" spans="2:41" x14ac:dyDescent="0.2">
      <c r="B214" s="22" t="str">
        <f>'Wzorzec kategorii'!B176</f>
        <v>.</v>
      </c>
      <c r="C214" s="19">
        <v>0</v>
      </c>
      <c r="D214" s="20">
        <f>SUM(Tabela19234583[#This Row])</f>
        <v>0</v>
      </c>
      <c r="E214" s="20">
        <f t="shared" si="25"/>
        <v>0</v>
      </c>
      <c r="F214" s="53" t="str">
        <f t="shared" si="26"/>
        <v/>
      </c>
      <c r="G214" s="54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25"/>
      <c r="AO214" s="25"/>
    </row>
    <row r="215" spans="2:41" x14ac:dyDescent="0.2">
      <c r="B215" s="22" t="str">
        <f>'Wzorzec kategorii'!B177</f>
        <v>.</v>
      </c>
      <c r="C215" s="19">
        <v>0</v>
      </c>
      <c r="D215" s="20">
        <f>SUM(Tabela19234583[#This Row])</f>
        <v>0</v>
      </c>
      <c r="E215" s="20">
        <f t="shared" si="25"/>
        <v>0</v>
      </c>
      <c r="F215" s="53" t="str">
        <f t="shared" si="26"/>
        <v/>
      </c>
      <c r="G215" s="54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25"/>
      <c r="AO215" s="25"/>
    </row>
    <row r="216" spans="2:41" x14ac:dyDescent="0.2"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</row>
    <row r="217" spans="2:41" x14ac:dyDescent="0.2">
      <c r="B217" s="2" t="str">
        <f>'Wzorzec kategorii'!B179</f>
        <v>INNE 1</v>
      </c>
      <c r="C217" s="3">
        <f>SUM(Tabela16405890[[#All],[Kolumna2]])</f>
        <v>0</v>
      </c>
      <c r="D217" s="16">
        <f>SUM(Tabela16405890[[#All],[Kolumna3]])</f>
        <v>0</v>
      </c>
      <c r="E217" s="3">
        <f>C217-D217</f>
        <v>0</v>
      </c>
      <c r="F217" s="17" t="str">
        <f>IFERROR(D217/C217,"")</f>
        <v/>
      </c>
      <c r="G217" s="3"/>
      <c r="I217" s="11" t="s">
        <v>44</v>
      </c>
      <c r="J217" s="11" t="s">
        <v>45</v>
      </c>
      <c r="K217" s="11" t="s">
        <v>46</v>
      </c>
      <c r="L217" s="11" t="s">
        <v>47</v>
      </c>
      <c r="M217" s="11" t="s">
        <v>48</v>
      </c>
      <c r="N217" s="11" t="s">
        <v>49</v>
      </c>
      <c r="O217" s="11" t="s">
        <v>50</v>
      </c>
      <c r="P217" s="11" t="s">
        <v>51</v>
      </c>
      <c r="Q217" s="11" t="s">
        <v>52</v>
      </c>
      <c r="R217" s="11" t="s">
        <v>53</v>
      </c>
      <c r="S217" s="11" t="s">
        <v>54</v>
      </c>
      <c r="T217" s="11" t="s">
        <v>55</v>
      </c>
      <c r="U217" s="11" t="s">
        <v>56</v>
      </c>
      <c r="V217" s="11" t="s">
        <v>57</v>
      </c>
      <c r="W217" s="11" t="s">
        <v>58</v>
      </c>
      <c r="X217" s="11" t="s">
        <v>59</v>
      </c>
      <c r="Y217" s="11" t="s">
        <v>60</v>
      </c>
      <c r="Z217" s="11" t="s">
        <v>61</v>
      </c>
      <c r="AA217" s="11" t="s">
        <v>62</v>
      </c>
      <c r="AB217" s="11" t="s">
        <v>63</v>
      </c>
      <c r="AC217" s="11" t="s">
        <v>64</v>
      </c>
      <c r="AD217" s="11" t="s">
        <v>65</v>
      </c>
      <c r="AE217" s="11" t="s">
        <v>66</v>
      </c>
      <c r="AF217" s="11" t="s">
        <v>67</v>
      </c>
      <c r="AG217" s="11" t="s">
        <v>68</v>
      </c>
      <c r="AH217" s="11" t="s">
        <v>69</v>
      </c>
      <c r="AI217" s="11" t="s">
        <v>70</v>
      </c>
      <c r="AJ217" s="11" t="s">
        <v>71</v>
      </c>
      <c r="AK217" s="11" t="s">
        <v>72</v>
      </c>
      <c r="AL217" s="11" t="s">
        <v>73</v>
      </c>
      <c r="AM217" s="11" t="s">
        <v>74</v>
      </c>
    </row>
    <row r="218" spans="2:41" x14ac:dyDescent="0.2">
      <c r="B218" s="22" t="str">
        <f>'Wzorzec kategorii'!B180</f>
        <v>.</v>
      </c>
      <c r="C218" s="19">
        <v>0</v>
      </c>
      <c r="D218" s="20">
        <f>SUM(Tabela1923455991[#This Row])</f>
        <v>0</v>
      </c>
      <c r="E218" s="20">
        <f t="shared" ref="E218:E227" si="27">C218-D218</f>
        <v>0</v>
      </c>
      <c r="F218" s="21" t="str">
        <f t="shared" ref="F218:F227" si="28">IFERROR(D218/C218,"")</f>
        <v/>
      </c>
      <c r="G218" s="24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2:41" x14ac:dyDescent="0.2">
      <c r="B219" s="22" t="str">
        <f>'Wzorzec kategorii'!B181</f>
        <v>.</v>
      </c>
      <c r="C219" s="19">
        <v>0</v>
      </c>
      <c r="D219" s="20">
        <f>SUM(Tabela1923455991[#This Row])</f>
        <v>0</v>
      </c>
      <c r="E219" s="20">
        <f t="shared" si="27"/>
        <v>0</v>
      </c>
      <c r="F219" s="21" t="str">
        <f t="shared" si="28"/>
        <v/>
      </c>
      <c r="G219" s="24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 spans="2:41" x14ac:dyDescent="0.2">
      <c r="B220" s="22" t="str">
        <f>'Wzorzec kategorii'!B182</f>
        <v>.</v>
      </c>
      <c r="C220" s="19">
        <v>0</v>
      </c>
      <c r="D220" s="20">
        <f>SUM(Tabela1923455991[#This Row])</f>
        <v>0</v>
      </c>
      <c r="E220" s="20">
        <f t="shared" si="27"/>
        <v>0</v>
      </c>
      <c r="F220" s="21" t="str">
        <f t="shared" si="28"/>
        <v/>
      </c>
      <c r="G220" s="24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 spans="2:41" x14ac:dyDescent="0.2">
      <c r="B221" s="22" t="str">
        <f>'Wzorzec kategorii'!B183</f>
        <v>.</v>
      </c>
      <c r="C221" s="19">
        <v>0</v>
      </c>
      <c r="D221" s="20">
        <f>SUM(Tabela1923455991[#This Row])</f>
        <v>0</v>
      </c>
      <c r="E221" s="20">
        <f t="shared" si="27"/>
        <v>0</v>
      </c>
      <c r="F221" s="21" t="str">
        <f t="shared" si="28"/>
        <v/>
      </c>
      <c r="G221" s="24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 spans="2:41" x14ac:dyDescent="0.2">
      <c r="B222" s="22" t="str">
        <f>'Wzorzec kategorii'!B184</f>
        <v>.</v>
      </c>
      <c r="C222" s="19">
        <v>0</v>
      </c>
      <c r="D222" s="20">
        <f>SUM(Tabela1923455991[#This Row])</f>
        <v>0</v>
      </c>
      <c r="E222" s="20">
        <f t="shared" si="27"/>
        <v>0</v>
      </c>
      <c r="F222" s="21" t="str">
        <f t="shared" si="28"/>
        <v/>
      </c>
      <c r="G222" s="24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</row>
    <row r="223" spans="2:41" x14ac:dyDescent="0.2">
      <c r="B223" s="22" t="str">
        <f>'Wzorzec kategorii'!B185</f>
        <v>.</v>
      </c>
      <c r="C223" s="19">
        <v>0</v>
      </c>
      <c r="D223" s="20">
        <f>SUM(Tabela1923455991[#This Row])</f>
        <v>0</v>
      </c>
      <c r="E223" s="20">
        <f t="shared" si="27"/>
        <v>0</v>
      </c>
      <c r="F223" s="21" t="str">
        <f t="shared" si="28"/>
        <v/>
      </c>
      <c r="G223" s="24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</row>
    <row r="224" spans="2:41" x14ac:dyDescent="0.2">
      <c r="B224" s="22" t="str">
        <f>'Wzorzec kategorii'!B186</f>
        <v>.</v>
      </c>
      <c r="C224" s="19">
        <v>0</v>
      </c>
      <c r="D224" s="20">
        <f>SUM(Tabela1923455991[#This Row])</f>
        <v>0</v>
      </c>
      <c r="E224" s="20">
        <f t="shared" si="27"/>
        <v>0</v>
      </c>
      <c r="F224" s="21" t="str">
        <f t="shared" si="28"/>
        <v/>
      </c>
      <c r="G224" s="24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2:39" x14ac:dyDescent="0.2">
      <c r="B225" s="22" t="str">
        <f>'Wzorzec kategorii'!B187</f>
        <v>.</v>
      </c>
      <c r="C225" s="19">
        <v>0</v>
      </c>
      <c r="D225" s="20">
        <f>SUM(Tabela1923455991[#This Row])</f>
        <v>0</v>
      </c>
      <c r="E225" s="20">
        <f t="shared" si="27"/>
        <v>0</v>
      </c>
      <c r="F225" s="21" t="str">
        <f t="shared" si="28"/>
        <v/>
      </c>
      <c r="G225" s="24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 spans="2:39" x14ac:dyDescent="0.2">
      <c r="B226" s="22" t="str">
        <f>'Wzorzec kategorii'!B188</f>
        <v>.</v>
      </c>
      <c r="C226" s="19">
        <v>0</v>
      </c>
      <c r="D226" s="20">
        <f>SUM(Tabela1923455991[#This Row])</f>
        <v>0</v>
      </c>
      <c r="E226" s="20">
        <f t="shared" si="27"/>
        <v>0</v>
      </c>
      <c r="F226" s="53" t="str">
        <f t="shared" si="28"/>
        <v/>
      </c>
      <c r="G226" s="54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</row>
    <row r="227" spans="2:39" x14ac:dyDescent="0.2">
      <c r="B227" s="22" t="str">
        <f>'Wzorzec kategorii'!B189</f>
        <v>.</v>
      </c>
      <c r="C227" s="19">
        <v>0</v>
      </c>
      <c r="D227" s="20">
        <f>SUM(Tabela1923455991[#This Row])</f>
        <v>0</v>
      </c>
      <c r="E227" s="20">
        <f t="shared" si="27"/>
        <v>0</v>
      </c>
      <c r="F227" s="53" t="str">
        <f t="shared" si="28"/>
        <v/>
      </c>
      <c r="G227" s="54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</row>
    <row r="228" spans="2:39" x14ac:dyDescent="0.2"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</row>
    <row r="229" spans="2:39" x14ac:dyDescent="0.2">
      <c r="B229" s="2" t="str">
        <f>'Wzorzec kategorii'!B191</f>
        <v>INNE 2</v>
      </c>
      <c r="C229" s="3">
        <f>SUM(Tabela1640586092[[#All],[Kolumna2]])</f>
        <v>0</v>
      </c>
      <c r="D229" s="16">
        <f>SUM(Tabela1640586092[[#All],[Kolumna3]])</f>
        <v>0</v>
      </c>
      <c r="E229" s="3">
        <f>C229-D229</f>
        <v>0</v>
      </c>
      <c r="F229" s="17" t="str">
        <f>IFERROR(D229/C229,"")</f>
        <v/>
      </c>
      <c r="G229" s="3"/>
      <c r="I229" s="11" t="s">
        <v>44</v>
      </c>
      <c r="J229" s="11" t="s">
        <v>45</v>
      </c>
      <c r="K229" s="11" t="s">
        <v>46</v>
      </c>
      <c r="L229" s="11" t="s">
        <v>47</v>
      </c>
      <c r="M229" s="11" t="s">
        <v>48</v>
      </c>
      <c r="N229" s="11" t="s">
        <v>49</v>
      </c>
      <c r="O229" s="11" t="s">
        <v>50</v>
      </c>
      <c r="P229" s="11" t="s">
        <v>51</v>
      </c>
      <c r="Q229" s="11" t="s">
        <v>52</v>
      </c>
      <c r="R229" s="11" t="s">
        <v>53</v>
      </c>
      <c r="S229" s="11" t="s">
        <v>54</v>
      </c>
      <c r="T229" s="11" t="s">
        <v>55</v>
      </c>
      <c r="U229" s="11" t="s">
        <v>56</v>
      </c>
      <c r="V229" s="11" t="s">
        <v>57</v>
      </c>
      <c r="W229" s="11" t="s">
        <v>58</v>
      </c>
      <c r="X229" s="11" t="s">
        <v>59</v>
      </c>
      <c r="Y229" s="11" t="s">
        <v>60</v>
      </c>
      <c r="Z229" s="11" t="s">
        <v>61</v>
      </c>
      <c r="AA229" s="11" t="s">
        <v>62</v>
      </c>
      <c r="AB229" s="11" t="s">
        <v>63</v>
      </c>
      <c r="AC229" s="11" t="s">
        <v>64</v>
      </c>
      <c r="AD229" s="11" t="s">
        <v>65</v>
      </c>
      <c r="AE229" s="11" t="s">
        <v>66</v>
      </c>
      <c r="AF229" s="11" t="s">
        <v>67</v>
      </c>
      <c r="AG229" s="11" t="s">
        <v>68</v>
      </c>
      <c r="AH229" s="11" t="s">
        <v>69</v>
      </c>
      <c r="AI229" s="11" t="s">
        <v>70</v>
      </c>
      <c r="AJ229" s="11" t="s">
        <v>71</v>
      </c>
      <c r="AK229" s="11" t="s">
        <v>72</v>
      </c>
      <c r="AL229" s="11" t="s">
        <v>73</v>
      </c>
      <c r="AM229" s="11" t="s">
        <v>74</v>
      </c>
    </row>
    <row r="230" spans="2:39" x14ac:dyDescent="0.2">
      <c r="B230" s="22" t="str">
        <f>'Wzorzec kategorii'!B192</f>
        <v>.</v>
      </c>
      <c r="C230" s="19">
        <v>0</v>
      </c>
      <c r="D230" s="20">
        <f>SUM(Tabela192345596294[#This Row])</f>
        <v>0</v>
      </c>
      <c r="E230" s="20">
        <f t="shared" ref="E230:E239" si="29">C230-D230</f>
        <v>0</v>
      </c>
      <c r="F230" s="21" t="str">
        <f t="shared" ref="F230:F239" si="30">IFERROR(D230/C230,"")</f>
        <v/>
      </c>
      <c r="G230" s="24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2:39" x14ac:dyDescent="0.2">
      <c r="B231" s="22" t="str">
        <f>'Wzorzec kategorii'!B193</f>
        <v>.</v>
      </c>
      <c r="C231" s="19">
        <v>0</v>
      </c>
      <c r="D231" s="20">
        <f>SUM(Tabela192345596294[#This Row])</f>
        <v>0</v>
      </c>
      <c r="E231" s="20">
        <f t="shared" si="29"/>
        <v>0</v>
      </c>
      <c r="F231" s="21" t="str">
        <f t="shared" si="30"/>
        <v/>
      </c>
      <c r="G231" s="24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 spans="2:39" x14ac:dyDescent="0.2">
      <c r="B232" s="22" t="str">
        <f>'Wzorzec kategorii'!B194</f>
        <v>.</v>
      </c>
      <c r="C232" s="19">
        <v>0</v>
      </c>
      <c r="D232" s="20">
        <f>SUM(Tabela192345596294[#This Row])</f>
        <v>0</v>
      </c>
      <c r="E232" s="20">
        <f t="shared" si="29"/>
        <v>0</v>
      </c>
      <c r="F232" s="21" t="str">
        <f t="shared" si="30"/>
        <v/>
      </c>
      <c r="G232" s="24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</row>
    <row r="233" spans="2:39" x14ac:dyDescent="0.2">
      <c r="B233" s="22" t="str">
        <f>'Wzorzec kategorii'!B195</f>
        <v>.</v>
      </c>
      <c r="C233" s="19">
        <v>0</v>
      </c>
      <c r="D233" s="20">
        <f>SUM(Tabela192345596294[#This Row])</f>
        <v>0</v>
      </c>
      <c r="E233" s="20">
        <f t="shared" si="29"/>
        <v>0</v>
      </c>
      <c r="F233" s="21" t="str">
        <f t="shared" si="30"/>
        <v/>
      </c>
      <c r="G233" s="24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2:39" x14ac:dyDescent="0.2">
      <c r="B234" s="22" t="str">
        <f>'Wzorzec kategorii'!B196</f>
        <v>.</v>
      </c>
      <c r="C234" s="19">
        <v>0</v>
      </c>
      <c r="D234" s="20">
        <f>SUM(Tabela192345596294[#This Row])</f>
        <v>0</v>
      </c>
      <c r="E234" s="20">
        <f t="shared" si="29"/>
        <v>0</v>
      </c>
      <c r="F234" s="21" t="str">
        <f t="shared" si="30"/>
        <v/>
      </c>
      <c r="G234" s="24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 spans="2:39" x14ac:dyDescent="0.2">
      <c r="B235" s="22" t="str">
        <f>'Wzorzec kategorii'!B197</f>
        <v>.</v>
      </c>
      <c r="C235" s="19">
        <v>0</v>
      </c>
      <c r="D235" s="20">
        <f>SUM(Tabela192345596294[#This Row])</f>
        <v>0</v>
      </c>
      <c r="E235" s="20">
        <f t="shared" si="29"/>
        <v>0</v>
      </c>
      <c r="F235" s="21" t="str">
        <f t="shared" si="30"/>
        <v/>
      </c>
      <c r="G235" s="24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 spans="2:39" x14ac:dyDescent="0.2">
      <c r="B236" s="22" t="str">
        <f>'Wzorzec kategorii'!B198</f>
        <v>.</v>
      </c>
      <c r="C236" s="19">
        <v>0</v>
      </c>
      <c r="D236" s="20">
        <f>SUM(Tabela192345596294[#This Row])</f>
        <v>0</v>
      </c>
      <c r="E236" s="20">
        <f t="shared" si="29"/>
        <v>0</v>
      </c>
      <c r="F236" s="21" t="str">
        <f t="shared" si="30"/>
        <v/>
      </c>
      <c r="G236" s="24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 spans="2:39" x14ac:dyDescent="0.2">
      <c r="B237" s="22" t="str">
        <f>'Wzorzec kategorii'!B199</f>
        <v>.</v>
      </c>
      <c r="C237" s="19">
        <v>0</v>
      </c>
      <c r="D237" s="20">
        <f>SUM(Tabela192345596294[#This Row])</f>
        <v>0</v>
      </c>
      <c r="E237" s="20">
        <f t="shared" si="29"/>
        <v>0</v>
      </c>
      <c r="F237" s="21" t="str">
        <f t="shared" si="30"/>
        <v/>
      </c>
      <c r="G237" s="24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 spans="2:39" x14ac:dyDescent="0.2">
      <c r="B238" s="22" t="str">
        <f>'Wzorzec kategorii'!B200</f>
        <v>.</v>
      </c>
      <c r="C238" s="19">
        <v>0</v>
      </c>
      <c r="D238" s="20">
        <f>SUM(Tabela192345596294[#This Row])</f>
        <v>0</v>
      </c>
      <c r="E238" s="20">
        <f t="shared" si="29"/>
        <v>0</v>
      </c>
      <c r="F238" s="53" t="str">
        <f t="shared" si="30"/>
        <v/>
      </c>
      <c r="G238" s="54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</row>
    <row r="239" spans="2:39" x14ac:dyDescent="0.2">
      <c r="B239" s="22" t="str">
        <f>'Wzorzec kategorii'!B201</f>
        <v>.</v>
      </c>
      <c r="C239" s="19">
        <v>0</v>
      </c>
      <c r="D239" s="20">
        <f>SUM(Tabela192345596294[#This Row])</f>
        <v>0</v>
      </c>
      <c r="E239" s="20">
        <f t="shared" si="29"/>
        <v>0</v>
      </c>
      <c r="F239" s="53" t="str">
        <f t="shared" si="30"/>
        <v/>
      </c>
      <c r="G239" s="54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</row>
    <row r="240" spans="2:39" x14ac:dyDescent="0.2"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</row>
    <row r="241" spans="2:39" x14ac:dyDescent="0.2">
      <c r="B241" s="2" t="str">
        <f>'Wzorzec kategorii'!B203</f>
        <v>INNE 3</v>
      </c>
      <c r="C241" s="3">
        <f>SUM(Tabela164058606193[[#All],[Kolumna2]])</f>
        <v>0</v>
      </c>
      <c r="D241" s="16">
        <f>SUM(Tabela164058606193[[#All],[Kolumna3]])</f>
        <v>0</v>
      </c>
      <c r="E241" s="3">
        <f>C241-D241</f>
        <v>0</v>
      </c>
      <c r="F241" s="17" t="str">
        <f>IFERROR(D241/C241,"")</f>
        <v/>
      </c>
      <c r="G241" s="3"/>
      <c r="I241" s="11" t="s">
        <v>44</v>
      </c>
      <c r="J241" s="11" t="s">
        <v>45</v>
      </c>
      <c r="K241" s="11" t="s">
        <v>46</v>
      </c>
      <c r="L241" s="11" t="s">
        <v>47</v>
      </c>
      <c r="M241" s="11" t="s">
        <v>48</v>
      </c>
      <c r="N241" s="11" t="s">
        <v>49</v>
      </c>
      <c r="O241" s="11" t="s">
        <v>50</v>
      </c>
      <c r="P241" s="11" t="s">
        <v>51</v>
      </c>
      <c r="Q241" s="11" t="s">
        <v>52</v>
      </c>
      <c r="R241" s="11" t="s">
        <v>53</v>
      </c>
      <c r="S241" s="11" t="s">
        <v>54</v>
      </c>
      <c r="T241" s="11" t="s">
        <v>55</v>
      </c>
      <c r="U241" s="11" t="s">
        <v>56</v>
      </c>
      <c r="V241" s="11" t="s">
        <v>57</v>
      </c>
      <c r="W241" s="11" t="s">
        <v>58</v>
      </c>
      <c r="X241" s="11" t="s">
        <v>59</v>
      </c>
      <c r="Y241" s="11" t="s">
        <v>60</v>
      </c>
      <c r="Z241" s="11" t="s">
        <v>61</v>
      </c>
      <c r="AA241" s="11" t="s">
        <v>62</v>
      </c>
      <c r="AB241" s="11" t="s">
        <v>63</v>
      </c>
      <c r="AC241" s="11" t="s">
        <v>64</v>
      </c>
      <c r="AD241" s="11" t="s">
        <v>65</v>
      </c>
      <c r="AE241" s="11" t="s">
        <v>66</v>
      </c>
      <c r="AF241" s="11" t="s">
        <v>67</v>
      </c>
      <c r="AG241" s="11" t="s">
        <v>68</v>
      </c>
      <c r="AH241" s="11" t="s">
        <v>69</v>
      </c>
      <c r="AI241" s="11" t="s">
        <v>70</v>
      </c>
      <c r="AJ241" s="11" t="s">
        <v>71</v>
      </c>
      <c r="AK241" s="11" t="s">
        <v>72</v>
      </c>
      <c r="AL241" s="11" t="s">
        <v>73</v>
      </c>
      <c r="AM241" s="11" t="s">
        <v>74</v>
      </c>
    </row>
    <row r="242" spans="2:39" x14ac:dyDescent="0.2">
      <c r="B242" s="22" t="str">
        <f>'Wzorzec kategorii'!B204</f>
        <v>.</v>
      </c>
      <c r="C242" s="19">
        <v>0</v>
      </c>
      <c r="D242" s="20">
        <f>SUM(Tabela192345596395[#This Row])</f>
        <v>0</v>
      </c>
      <c r="E242" s="20">
        <f t="shared" ref="E242:E251" si="31">C242-D242</f>
        <v>0</v>
      </c>
      <c r="F242" s="21" t="str">
        <f t="shared" ref="F242:F251" si="32">IFERROR(D242/C242,"")</f>
        <v/>
      </c>
      <c r="G242" s="24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2:39" x14ac:dyDescent="0.2">
      <c r="B243" s="22" t="str">
        <f>'Wzorzec kategorii'!B205</f>
        <v>.</v>
      </c>
      <c r="C243" s="19">
        <v>0</v>
      </c>
      <c r="D243" s="20">
        <f>SUM(Tabela192345596395[#This Row])</f>
        <v>0</v>
      </c>
      <c r="E243" s="20">
        <f t="shared" si="31"/>
        <v>0</v>
      </c>
      <c r="F243" s="21" t="str">
        <f t="shared" si="32"/>
        <v/>
      </c>
      <c r="G243" s="24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 spans="2:39" x14ac:dyDescent="0.2">
      <c r="B244" s="22" t="str">
        <f>'Wzorzec kategorii'!B206</f>
        <v>.</v>
      </c>
      <c r="C244" s="19">
        <v>0</v>
      </c>
      <c r="D244" s="20">
        <f>SUM(Tabela192345596395[#This Row])</f>
        <v>0</v>
      </c>
      <c r="E244" s="20">
        <f t="shared" si="31"/>
        <v>0</v>
      </c>
      <c r="F244" s="21" t="str">
        <f t="shared" si="32"/>
        <v/>
      </c>
      <c r="G244" s="24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 spans="2:39" x14ac:dyDescent="0.2">
      <c r="B245" s="22" t="str">
        <f>'Wzorzec kategorii'!B207</f>
        <v>.</v>
      </c>
      <c r="C245" s="19">
        <v>0</v>
      </c>
      <c r="D245" s="20">
        <f>SUM(Tabela192345596395[#This Row])</f>
        <v>0</v>
      </c>
      <c r="E245" s="20">
        <f t="shared" si="31"/>
        <v>0</v>
      </c>
      <c r="F245" s="21" t="str">
        <f t="shared" si="32"/>
        <v/>
      </c>
      <c r="G245" s="24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2:39" x14ac:dyDescent="0.2">
      <c r="B246" s="22" t="str">
        <f>'Wzorzec kategorii'!B208</f>
        <v>.</v>
      </c>
      <c r="C246" s="19">
        <v>0</v>
      </c>
      <c r="D246" s="20">
        <f>SUM(Tabela192345596395[#This Row])</f>
        <v>0</v>
      </c>
      <c r="E246" s="20">
        <f t="shared" si="31"/>
        <v>0</v>
      </c>
      <c r="F246" s="21" t="str">
        <f t="shared" si="32"/>
        <v/>
      </c>
      <c r="G246" s="24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 spans="2:39" x14ac:dyDescent="0.2">
      <c r="B247" s="22" t="str">
        <f>'Wzorzec kategorii'!B209</f>
        <v>.</v>
      </c>
      <c r="C247" s="19">
        <v>0</v>
      </c>
      <c r="D247" s="20">
        <f>SUM(Tabela192345596395[#This Row])</f>
        <v>0</v>
      </c>
      <c r="E247" s="20">
        <f t="shared" si="31"/>
        <v>0</v>
      </c>
      <c r="F247" s="21" t="str">
        <f t="shared" si="32"/>
        <v/>
      </c>
      <c r="G247" s="24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</row>
    <row r="248" spans="2:39" x14ac:dyDescent="0.2">
      <c r="B248" s="22" t="str">
        <f>'Wzorzec kategorii'!B210</f>
        <v>.</v>
      </c>
      <c r="C248" s="19">
        <v>0</v>
      </c>
      <c r="D248" s="20">
        <f>SUM(Tabela192345596395[#This Row])</f>
        <v>0</v>
      </c>
      <c r="E248" s="20">
        <f t="shared" si="31"/>
        <v>0</v>
      </c>
      <c r="F248" s="21" t="str">
        <f t="shared" si="32"/>
        <v/>
      </c>
      <c r="G248" s="24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 spans="2:39" x14ac:dyDescent="0.2">
      <c r="B249" s="22" t="str">
        <f>'Wzorzec kategorii'!B211</f>
        <v>.</v>
      </c>
      <c r="C249" s="19">
        <v>0</v>
      </c>
      <c r="D249" s="20">
        <f>SUM(Tabela192345596395[#This Row])</f>
        <v>0</v>
      </c>
      <c r="E249" s="20">
        <f t="shared" si="31"/>
        <v>0</v>
      </c>
      <c r="F249" s="21" t="str">
        <f t="shared" si="32"/>
        <v/>
      </c>
      <c r="G249" s="24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 spans="2:39" x14ac:dyDescent="0.2">
      <c r="B250" s="22" t="str">
        <f>'Wzorzec kategorii'!B212</f>
        <v>.</v>
      </c>
      <c r="C250" s="19">
        <v>0</v>
      </c>
      <c r="D250" s="20">
        <f>SUM(Tabela192345596395[#This Row])</f>
        <v>0</v>
      </c>
      <c r="E250" s="20">
        <f t="shared" si="31"/>
        <v>0</v>
      </c>
      <c r="F250" s="53" t="str">
        <f t="shared" si="32"/>
        <v/>
      </c>
      <c r="G250" s="54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</row>
    <row r="251" spans="2:39" x14ac:dyDescent="0.2">
      <c r="B251" s="22" t="str">
        <f>'Wzorzec kategorii'!B213</f>
        <v>.</v>
      </c>
      <c r="C251" s="19">
        <v>0</v>
      </c>
      <c r="D251" s="20">
        <f>SUM(Tabela192345596395[#This Row])</f>
        <v>0</v>
      </c>
      <c r="E251" s="20">
        <f t="shared" si="31"/>
        <v>0</v>
      </c>
      <c r="F251" s="53" t="str">
        <f t="shared" si="32"/>
        <v/>
      </c>
      <c r="G251" s="54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</row>
    <row r="252" spans="2:39" x14ac:dyDescent="0.2"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</row>
    <row r="253" spans="2:39" ht="30" x14ac:dyDescent="0.2">
      <c r="C253" s="9" t="s">
        <v>131</v>
      </c>
      <c r="D253" s="10" t="s">
        <v>135</v>
      </c>
      <c r="E253" s="8" t="s">
        <v>129</v>
      </c>
      <c r="I253" s="9" t="s">
        <v>44</v>
      </c>
      <c r="J253" s="9" t="s">
        <v>45</v>
      </c>
      <c r="K253" s="9" t="s">
        <v>46</v>
      </c>
      <c r="L253" s="9" t="s">
        <v>47</v>
      </c>
      <c r="M253" s="9" t="s">
        <v>48</v>
      </c>
      <c r="N253" s="9" t="s">
        <v>49</v>
      </c>
      <c r="O253" s="9" t="s">
        <v>50</v>
      </c>
      <c r="P253" s="9" t="s">
        <v>51</v>
      </c>
      <c r="Q253" s="9" t="s">
        <v>52</v>
      </c>
      <c r="R253" s="9" t="s">
        <v>53</v>
      </c>
      <c r="S253" s="9" t="s">
        <v>54</v>
      </c>
      <c r="T253" s="9" t="s">
        <v>55</v>
      </c>
      <c r="U253" s="9" t="s">
        <v>56</v>
      </c>
      <c r="V253" s="9" t="s">
        <v>57</v>
      </c>
      <c r="W253" s="9" t="s">
        <v>58</v>
      </c>
      <c r="X253" s="9" t="s">
        <v>59</v>
      </c>
      <c r="Y253" s="9" t="s">
        <v>60</v>
      </c>
      <c r="Z253" s="9" t="s">
        <v>61</v>
      </c>
      <c r="AA253" s="9" t="s">
        <v>62</v>
      </c>
      <c r="AB253" s="9" t="s">
        <v>63</v>
      </c>
      <c r="AC253" s="9" t="s">
        <v>64</v>
      </c>
      <c r="AD253" s="9" t="s">
        <v>65</v>
      </c>
      <c r="AE253" s="9" t="s">
        <v>66</v>
      </c>
      <c r="AF253" s="9" t="s">
        <v>67</v>
      </c>
      <c r="AG253" s="9" t="s">
        <v>68</v>
      </c>
      <c r="AH253" s="9" t="s">
        <v>69</v>
      </c>
      <c r="AI253" s="9" t="s">
        <v>70</v>
      </c>
      <c r="AJ253" s="9" t="s">
        <v>71</v>
      </c>
      <c r="AK253" s="9" t="s">
        <v>72</v>
      </c>
      <c r="AL253" s="9" t="s">
        <v>73</v>
      </c>
      <c r="AM253" s="9" t="s">
        <v>74</v>
      </c>
    </row>
    <row r="254" spans="2:39" ht="22" customHeight="1" x14ac:dyDescent="0.2">
      <c r="B254" s="39" t="s">
        <v>31</v>
      </c>
      <c r="C254" s="40">
        <f>C71</f>
        <v>0</v>
      </c>
      <c r="D254" s="40">
        <f>D71</f>
        <v>0</v>
      </c>
      <c r="E254" s="40">
        <f>C254-D254</f>
        <v>0</v>
      </c>
      <c r="G254" s="39" t="s">
        <v>126</v>
      </c>
      <c r="I254" s="43">
        <f>SUM(I73:I251)</f>
        <v>0</v>
      </c>
      <c r="J254" s="43">
        <f>SUM(J73:J251)</f>
        <v>0</v>
      </c>
      <c r="K254" s="43">
        <f>SUM(K73:K251)</f>
        <v>0</v>
      </c>
      <c r="L254" s="43">
        <f t="shared" ref="L254:AM254" si="33">SUM(L73:L251)</f>
        <v>0</v>
      </c>
      <c r="M254" s="43">
        <f t="shared" si="33"/>
        <v>0</v>
      </c>
      <c r="N254" s="43">
        <f t="shared" si="33"/>
        <v>0</v>
      </c>
      <c r="O254" s="43">
        <f t="shared" si="33"/>
        <v>0</v>
      </c>
      <c r="P254" s="43">
        <f t="shared" si="33"/>
        <v>0</v>
      </c>
      <c r="Q254" s="43">
        <f t="shared" si="33"/>
        <v>0</v>
      </c>
      <c r="R254" s="43">
        <f t="shared" si="33"/>
        <v>0</v>
      </c>
      <c r="S254" s="43">
        <f t="shared" si="33"/>
        <v>0</v>
      </c>
      <c r="T254" s="43">
        <f t="shared" si="33"/>
        <v>0</v>
      </c>
      <c r="U254" s="43">
        <f t="shared" si="33"/>
        <v>0</v>
      </c>
      <c r="V254" s="43">
        <f t="shared" si="33"/>
        <v>0</v>
      </c>
      <c r="W254" s="43">
        <f t="shared" si="33"/>
        <v>0</v>
      </c>
      <c r="X254" s="43">
        <f t="shared" si="33"/>
        <v>0</v>
      </c>
      <c r="Y254" s="43">
        <f t="shared" si="33"/>
        <v>0</v>
      </c>
      <c r="Z254" s="43">
        <f t="shared" si="33"/>
        <v>0</v>
      </c>
      <c r="AA254" s="43">
        <f t="shared" si="33"/>
        <v>0</v>
      </c>
      <c r="AB254" s="43">
        <f t="shared" si="33"/>
        <v>0</v>
      </c>
      <c r="AC254" s="43">
        <f t="shared" si="33"/>
        <v>0</v>
      </c>
      <c r="AD254" s="43">
        <f t="shared" si="33"/>
        <v>0</v>
      </c>
      <c r="AE254" s="43">
        <f t="shared" si="33"/>
        <v>0</v>
      </c>
      <c r="AF254" s="43">
        <f t="shared" si="33"/>
        <v>0</v>
      </c>
      <c r="AG254" s="43">
        <f t="shared" si="33"/>
        <v>0</v>
      </c>
      <c r="AH254" s="43">
        <f t="shared" si="33"/>
        <v>0</v>
      </c>
      <c r="AI254" s="43">
        <f t="shared" si="33"/>
        <v>0</v>
      </c>
      <c r="AJ254" s="43">
        <f t="shared" si="33"/>
        <v>0</v>
      </c>
      <c r="AK254" s="43">
        <f t="shared" si="33"/>
        <v>0</v>
      </c>
      <c r="AL254" s="43">
        <f t="shared" si="33"/>
        <v>0</v>
      </c>
      <c r="AM254" s="43">
        <f t="shared" si="33"/>
        <v>0</v>
      </c>
    </row>
    <row r="255" spans="2:39" x14ac:dyDescent="0.2"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</row>
  </sheetData>
  <mergeCells count="27">
    <mergeCell ref="B12:C12"/>
    <mergeCell ref="B2:C2"/>
    <mergeCell ref="D2:E2"/>
    <mergeCell ref="B4:E4"/>
    <mergeCell ref="B9:C9"/>
    <mergeCell ref="B10:C10"/>
    <mergeCell ref="C32:D32"/>
    <mergeCell ref="B16:C16"/>
    <mergeCell ref="B17:C17"/>
    <mergeCell ref="B19:C19"/>
    <mergeCell ref="B21:E21"/>
    <mergeCell ref="B23:D23"/>
    <mergeCell ref="B25:E25"/>
    <mergeCell ref="C27:D27"/>
    <mergeCell ref="C28:D28"/>
    <mergeCell ref="C29:D29"/>
    <mergeCell ref="C30:D30"/>
    <mergeCell ref="C31:D31"/>
    <mergeCell ref="C39:D39"/>
    <mergeCell ref="C40:D40"/>
    <mergeCell ref="C41:D41"/>
    <mergeCell ref="C33:D33"/>
    <mergeCell ref="C34:D34"/>
    <mergeCell ref="C35:D35"/>
    <mergeCell ref="C36:D36"/>
    <mergeCell ref="C37:D37"/>
    <mergeCell ref="C38:D38"/>
  </mergeCells>
  <conditionalFormatting sqref="D73">
    <cfRule type="dataBar" priority="29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{F617F458-2FCD-3749-B13A-956B1B005725}</x14:id>
        </ext>
      </extLst>
    </cfRule>
  </conditionalFormatting>
  <conditionalFormatting sqref="D85">
    <cfRule type="dataBar" priority="28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{391FEFD5-7F59-4946-866F-4602CEF5739B}</x14:id>
        </ext>
      </extLst>
    </cfRule>
  </conditionalFormatting>
  <conditionalFormatting sqref="B23:D23">
    <cfRule type="dataBar" priority="27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{6565D9F7-FE43-DA4A-8741-818FFA22A690}</x14:id>
        </ext>
      </extLst>
    </cfRule>
  </conditionalFormatting>
  <conditionalFormatting sqref="C27:D27">
    <cfRule type="dataBar" priority="26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{3128F6D9-7889-AC4A-9761-28B4AE10B3A9}</x14:id>
        </ext>
      </extLst>
    </cfRule>
  </conditionalFormatting>
  <conditionalFormatting sqref="D97">
    <cfRule type="dataBar" priority="25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{775EC4B5-F947-5943-A0D3-0308C6B5B5FF}</x14:id>
        </ext>
      </extLst>
    </cfRule>
  </conditionalFormatting>
  <conditionalFormatting sqref="C28:D28">
    <cfRule type="dataBar" priority="24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{7F6B3B7A-055E-DC4A-B518-D705A780242C}</x14:id>
        </ext>
      </extLst>
    </cfRule>
  </conditionalFormatting>
  <conditionalFormatting sqref="C29:D29">
    <cfRule type="dataBar" priority="23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{C5A8D8EB-703D-8E4D-94A1-80545BEB0F91}</x14:id>
        </ext>
      </extLst>
    </cfRule>
  </conditionalFormatting>
  <conditionalFormatting sqref="C30:D30">
    <cfRule type="dataBar" priority="22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{02460E9D-136A-904C-9481-10725431D86C}</x14:id>
        </ext>
      </extLst>
    </cfRule>
  </conditionalFormatting>
  <conditionalFormatting sqref="C31:D31">
    <cfRule type="dataBar" priority="21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{5BD0B2B0-5454-BA48-A78A-EC74A2E8BBD4}</x14:id>
        </ext>
      </extLst>
    </cfRule>
  </conditionalFormatting>
  <conditionalFormatting sqref="C32:D32">
    <cfRule type="dataBar" priority="20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{09884EE9-DAB8-774A-8D07-C77AF18211D3}</x14:id>
        </ext>
      </extLst>
    </cfRule>
  </conditionalFormatting>
  <conditionalFormatting sqref="C33:D33">
    <cfRule type="dataBar" priority="19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{01EF271C-8039-144D-BF45-7673A6AA4161}</x14:id>
        </ext>
      </extLst>
    </cfRule>
  </conditionalFormatting>
  <conditionalFormatting sqref="C34:D34">
    <cfRule type="dataBar" priority="18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{CB174269-52AC-C34D-9DF5-D0762D648061}</x14:id>
        </ext>
      </extLst>
    </cfRule>
  </conditionalFormatting>
  <conditionalFormatting sqref="C35:D35">
    <cfRule type="dataBar" priority="17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{DAE0661F-261A-0A47-AC0E-630C16EEED8D}</x14:id>
        </ext>
      </extLst>
    </cfRule>
  </conditionalFormatting>
  <conditionalFormatting sqref="C36:D36">
    <cfRule type="dataBar" priority="16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{94FB2848-298A-CE4F-AB76-26D223272A71}</x14:id>
        </ext>
      </extLst>
    </cfRule>
  </conditionalFormatting>
  <conditionalFormatting sqref="C37:D37">
    <cfRule type="dataBar" priority="15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{49D2ECE3-3EAA-4244-A2BD-B4C6CF279F55}</x14:id>
        </ext>
      </extLst>
    </cfRule>
  </conditionalFormatting>
  <conditionalFormatting sqref="C38:D41">
    <cfRule type="dataBar" priority="14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{C1B27656-459B-C841-80D5-E6EEA8A9DE3B}</x14:id>
        </ext>
      </extLst>
    </cfRule>
  </conditionalFormatting>
  <conditionalFormatting sqref="D109">
    <cfRule type="dataBar" priority="13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{20853504-566A-5E42-BB29-56E591F7D20C}</x14:id>
        </ext>
      </extLst>
    </cfRule>
  </conditionalFormatting>
  <conditionalFormatting sqref="D121">
    <cfRule type="dataBar" priority="12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{1CA138A2-9B38-424E-9E7B-0D3192BFD455}</x14:id>
        </ext>
      </extLst>
    </cfRule>
  </conditionalFormatting>
  <conditionalFormatting sqref="D133">
    <cfRule type="dataBar" priority="11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{4B1B39FE-8ED6-A343-9132-D0B8D339B913}</x14:id>
        </ext>
      </extLst>
    </cfRule>
  </conditionalFormatting>
  <conditionalFormatting sqref="D145">
    <cfRule type="dataBar" priority="10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{180D62F2-E5F1-9D42-BDE5-235032977988}</x14:id>
        </ext>
      </extLst>
    </cfRule>
  </conditionalFormatting>
  <conditionalFormatting sqref="D157">
    <cfRule type="dataBar" priority="9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{AEF10F94-5891-1B41-AC3D-D1D0E9E7DB94}</x14:id>
        </ext>
      </extLst>
    </cfRule>
  </conditionalFormatting>
  <conditionalFormatting sqref="D169">
    <cfRule type="dataBar" priority="8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{53233828-9ACB-B347-A322-CA3F5ED65FBB}</x14:id>
        </ext>
      </extLst>
    </cfRule>
  </conditionalFormatting>
  <conditionalFormatting sqref="D181">
    <cfRule type="dataBar" priority="7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{D52465B6-4823-F04F-9026-CD0C1894EAF2}</x14:id>
        </ext>
      </extLst>
    </cfRule>
  </conditionalFormatting>
  <conditionalFormatting sqref="D193">
    <cfRule type="dataBar" priority="6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{797CDADC-C03F-2F46-AC68-F29E4BC1C73C}</x14:id>
        </ext>
      </extLst>
    </cfRule>
  </conditionalFormatting>
  <conditionalFormatting sqref="D205">
    <cfRule type="dataBar" priority="5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{02B9F3F1-9422-7547-9631-E5D5FC91C889}</x14:id>
        </ext>
      </extLst>
    </cfRule>
  </conditionalFormatting>
  <conditionalFormatting sqref="D51">
    <cfRule type="dataBar" priority="4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{EBDBFC67-0C2B-7041-9E99-66710CEFF8D9}</x14:id>
        </ext>
      </extLst>
    </cfRule>
  </conditionalFormatting>
  <conditionalFormatting sqref="D217">
    <cfRule type="dataBar" priority="3">
      <dataBar>
        <cfvo type="num" val="0"/>
        <cfvo type="formula" val="$C$217"/>
        <color rgb="FF92D050"/>
      </dataBar>
      <extLst>
        <ext xmlns:x14="http://schemas.microsoft.com/office/spreadsheetml/2009/9/main" uri="{B025F937-C7B1-47D3-B67F-A62EFF666E3E}">
          <x14:id>{203C165D-7C95-5549-A01F-19B22D71D14E}</x14:id>
        </ext>
      </extLst>
    </cfRule>
  </conditionalFormatting>
  <conditionalFormatting sqref="D229">
    <cfRule type="dataBar" priority="2">
      <dataBar>
        <cfvo type="num" val="0"/>
        <cfvo type="formula" val="$C$229"/>
        <color rgb="FF92D050"/>
      </dataBar>
      <extLst>
        <ext xmlns:x14="http://schemas.microsoft.com/office/spreadsheetml/2009/9/main" uri="{B025F937-C7B1-47D3-B67F-A62EFF666E3E}">
          <x14:id>{83E25C0A-C884-1149-A42E-F59DF0E4CBB3}</x14:id>
        </ext>
      </extLst>
    </cfRule>
  </conditionalFormatting>
  <conditionalFormatting sqref="D241">
    <cfRule type="dataBar" priority="1">
      <dataBar>
        <cfvo type="num" val="0"/>
        <cfvo type="formula" val="$C$241"/>
        <color rgb="FF92D050"/>
      </dataBar>
      <extLst>
        <ext xmlns:x14="http://schemas.microsoft.com/office/spreadsheetml/2009/9/main" uri="{B025F937-C7B1-47D3-B67F-A62EFF666E3E}">
          <x14:id>{F9E231EB-30D0-E442-917E-7EC823D5F7E2}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617F458-2FCD-3749-B13A-956B1B005725}">
            <x14:dataBar minLength="0" maxLength="100" gradient="0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391FEFD5-7F59-4946-866F-4602CEF5739B}">
            <x14:dataBar minLength="0" maxLength="100" gradient="0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6565D9F7-FE43-DA4A-8741-818FFA22A690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3128F6D9-7889-AC4A-9761-28B4AE10B3A9}">
            <x14:dataBar minLength="0" maxLength="100" gradient="0" direction="leftToRight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775EC4B5-F947-5943-A0D3-0308C6B5B5FF}">
            <x14:dataBar minLength="0" maxLength="100" gradient="0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7F6B3B7A-055E-DC4A-B518-D705A780242C}">
            <x14:dataBar minLength="0" maxLength="100" gradient="0" direction="leftToRight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C5A8D8EB-703D-8E4D-94A1-80545BEB0F91}">
            <x14:dataBar minLength="0" maxLength="100" gradient="0" direction="leftToRight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02460E9D-136A-904C-9481-10725431D86C}">
            <x14:dataBar minLength="0" maxLength="100" gradient="0" direction="leftToRight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5BD0B2B0-5454-BA48-A78A-EC74A2E8BBD4}">
            <x14:dataBar minLength="0" maxLength="100" gradient="0" direction="leftToRight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09884EE9-DAB8-774A-8D07-C77AF18211D3}">
            <x14:dataBar minLength="0" maxLength="100" gradient="0" direction="leftToRight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01EF271C-8039-144D-BF45-7673A6AA4161}">
            <x14:dataBar minLength="0" maxLength="100" gradient="0" direction="leftToRight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CB174269-52AC-C34D-9DF5-D0762D648061}">
            <x14:dataBar minLength="0" maxLength="100" gradient="0" direction="leftToRight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DAE0661F-261A-0A47-AC0E-630C16EEED8D}">
            <x14:dataBar minLength="0" maxLength="100" gradient="0" direction="leftToRight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94FB2848-298A-CE4F-AB76-26D223272A71}">
            <x14:dataBar minLength="0" maxLength="100" gradient="0" direction="leftToRight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49D2ECE3-3EAA-4244-A2BD-B4C6CF279F55}">
            <x14:dataBar minLength="0" maxLength="100" gradient="0" direction="leftToRight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C1B27656-459B-C841-80D5-E6EEA8A9DE3B}">
            <x14:dataBar minLength="0" maxLength="100" gradient="0" direction="leftToRight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C38:D41</xm:sqref>
        </x14:conditionalFormatting>
        <x14:conditionalFormatting xmlns:xm="http://schemas.microsoft.com/office/excel/2006/main">
          <x14:cfRule type="dataBar" id="{20853504-566A-5E42-BB29-56E591F7D20C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D109</xm:sqref>
        </x14:conditionalFormatting>
        <x14:conditionalFormatting xmlns:xm="http://schemas.microsoft.com/office/excel/2006/main">
          <x14:cfRule type="dataBar" id="{1CA138A2-9B38-424E-9E7B-0D3192BFD455}">
            <x14:dataBar minLength="0" maxLength="100" gradient="0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D121</xm:sqref>
        </x14:conditionalFormatting>
        <x14:conditionalFormatting xmlns:xm="http://schemas.microsoft.com/office/excel/2006/main">
          <x14:cfRule type="dataBar" id="{4B1B39FE-8ED6-A343-9132-D0B8D339B913}">
            <x14:dataBar minLength="0" maxLength="100" gradient="0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180D62F2-E5F1-9D42-BDE5-235032977988}">
            <x14:dataBar minLength="0" maxLength="100" gradient="0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AEF10F94-5891-1B41-AC3D-D1D0E9E7DB94}">
            <x14:dataBar minLength="0" maxLength="100" gradient="0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53233828-9ACB-B347-A322-CA3F5ED65FBB}">
            <x14:dataBar minLength="0" maxLength="100" gradient="0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D52465B6-4823-F04F-9026-CD0C1894EAF2}">
            <x14:dataBar minLength="0" maxLength="100" gradient="0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797CDADC-C03F-2F46-AC68-F29E4BC1C73C}">
            <x14:dataBar minLength="0" maxLength="100" gradient="0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D193</xm:sqref>
        </x14:conditionalFormatting>
        <x14:conditionalFormatting xmlns:xm="http://schemas.microsoft.com/office/excel/2006/main">
          <x14:cfRule type="dataBar" id="{02B9F3F1-9422-7547-9631-E5D5FC91C889}">
            <x14:dataBar minLength="0" maxLength="100" gradient="0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D205</xm:sqref>
        </x14:conditionalFormatting>
        <x14:conditionalFormatting xmlns:xm="http://schemas.microsoft.com/office/excel/2006/main">
          <x14:cfRule type="dataBar" id="{EBDBFC67-0C2B-7041-9E99-66710CEFF8D9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203C165D-7C95-5549-A01F-19B22D71D14E}">
            <x14:dataBar minLength="0" maxLength="100" gradient="0">
              <x14:cfvo type="num">
                <xm:f>0</xm:f>
              </x14:cfvo>
              <x14:cfvo type="formula">
                <xm:f>$C$217</xm:f>
              </x14:cfvo>
              <x14:negativeFillColor rgb="FFFF0000"/>
              <x14:axisColor rgb="FF000000"/>
            </x14:dataBar>
          </x14:cfRule>
          <xm:sqref>D217</xm:sqref>
        </x14:conditionalFormatting>
        <x14:conditionalFormatting xmlns:xm="http://schemas.microsoft.com/office/excel/2006/main">
          <x14:cfRule type="dataBar" id="{83E25C0A-C884-1149-A42E-F59DF0E4CBB3}">
            <x14:dataBar minLength="0" maxLength="100" gradient="0">
              <x14:cfvo type="num">
                <xm:f>0</xm:f>
              </x14:cfvo>
              <x14:cfvo type="formula">
                <xm:f>$C$229</xm:f>
              </x14:cfvo>
              <x14:negativeFillColor rgb="FFFF0000"/>
              <x14:axisColor rgb="FF000000"/>
            </x14:dataBar>
          </x14:cfRule>
          <xm:sqref>D229</xm:sqref>
        </x14:conditionalFormatting>
        <x14:conditionalFormatting xmlns:xm="http://schemas.microsoft.com/office/excel/2006/main">
          <x14:cfRule type="dataBar" id="{F9E231EB-30D0-E442-917E-7EC823D5F7E2}">
            <x14:dataBar minLength="0" maxLength="100" gradient="0">
              <x14:cfvo type="num">
                <xm:f>0</xm:f>
              </x14:cfvo>
              <x14:cfvo type="formula">
                <xm:f>$C$241</xm:f>
              </x14:cfvo>
              <x14:negativeFillColor rgb="FFFF0000"/>
              <x14:axisColor rgb="FF000000"/>
            </x14:dataBar>
          </x14:cfRule>
          <xm:sqref>D241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 enableFormatConditionsCalculation="0"/>
  <dimension ref="B2:AO255"/>
  <sheetViews>
    <sheetView showGridLines="0" workbookViewId="0">
      <pane xSplit="8" topLeftCell="I1" activePane="topRight" state="frozen"/>
      <selection activeCell="A12" sqref="A12"/>
      <selection pane="topRight" activeCell="I2" sqref="I2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  <col min="9" max="39" width="11.33203125" customWidth="1"/>
  </cols>
  <sheetData>
    <row r="2" spans="2:7" ht="24" x14ac:dyDescent="0.3">
      <c r="B2" s="66" t="s">
        <v>130</v>
      </c>
      <c r="C2" s="66"/>
      <c r="D2" s="67" t="s">
        <v>161</v>
      </c>
      <c r="E2" s="68"/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69" t="s">
        <v>144</v>
      </c>
      <c r="C4" s="70"/>
      <c r="D4" s="70"/>
      <c r="E4" s="70"/>
    </row>
    <row r="5" spans="2:7" outlineLevel="1" x14ac:dyDescent="0.2">
      <c r="B5" s="41" t="s">
        <v>147</v>
      </c>
      <c r="C5" s="45" t="s">
        <v>148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132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62" t="s">
        <v>127</v>
      </c>
      <c r="C9" s="62"/>
      <c r="D9" s="34">
        <f>C49</f>
        <v>0</v>
      </c>
      <c r="E9" s="18"/>
    </row>
    <row r="10" spans="2:7" x14ac:dyDescent="0.2">
      <c r="B10" s="62" t="s">
        <v>131</v>
      </c>
      <c r="C10" s="62"/>
      <c r="D10" s="34">
        <f>C71</f>
        <v>0</v>
      </c>
      <c r="E10" s="18"/>
    </row>
    <row r="11" spans="2:7" x14ac:dyDescent="0.2">
      <c r="B11" s="48"/>
      <c r="C11" s="48"/>
      <c r="D11" s="31"/>
      <c r="E11" s="18"/>
    </row>
    <row r="12" spans="2:7" ht="30" customHeight="1" x14ac:dyDescent="0.2">
      <c r="B12" s="63" t="s">
        <v>133</v>
      </c>
      <c r="C12" s="63"/>
      <c r="D12" s="36">
        <f>D9-D10</f>
        <v>0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134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62" t="s">
        <v>128</v>
      </c>
      <c r="C16" s="62"/>
      <c r="D16" s="28">
        <f>D49</f>
        <v>0</v>
      </c>
      <c r="E16" s="18"/>
    </row>
    <row r="17" spans="2:5" x14ac:dyDescent="0.2">
      <c r="B17" s="62" t="s">
        <v>135</v>
      </c>
      <c r="C17" s="62"/>
      <c r="D17" s="28">
        <f>D71</f>
        <v>0</v>
      </c>
      <c r="E17" s="18"/>
    </row>
    <row r="18" spans="2:5" x14ac:dyDescent="0.2">
      <c r="B18" s="48"/>
      <c r="C18" s="48"/>
      <c r="D18" s="28"/>
      <c r="E18" s="18"/>
    </row>
    <row r="19" spans="2:5" ht="30" customHeight="1" x14ac:dyDescent="0.2">
      <c r="B19" s="63" t="s">
        <v>136</v>
      </c>
      <c r="C19" s="63"/>
      <c r="D19" s="36">
        <f>D16-D17</f>
        <v>0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64" t="s">
        <v>137</v>
      </c>
      <c r="C21" s="64"/>
      <c r="D21" s="64"/>
      <c r="E21" s="64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60">
        <f>D17</f>
        <v>0</v>
      </c>
      <c r="C23" s="65"/>
      <c r="D23" s="61"/>
      <c r="E23" s="38" t="str">
        <f>IFERROR(D17/D16,"")</f>
        <v/>
      </c>
    </row>
    <row r="24" spans="2:5" ht="18" x14ac:dyDescent="0.2">
      <c r="B24" s="29"/>
      <c r="D24" s="30"/>
      <c r="E24" s="18"/>
    </row>
    <row r="25" spans="2:5" x14ac:dyDescent="0.2">
      <c r="B25" s="64" t="s">
        <v>138</v>
      </c>
      <c r="C25" s="64"/>
      <c r="D25" s="64"/>
      <c r="E25" s="64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B73</f>
        <v>Jedzenie</v>
      </c>
      <c r="C27" s="60">
        <f>D73</f>
        <v>0</v>
      </c>
      <c r="D27" s="72"/>
      <c r="E27" s="38" t="str">
        <f>IFERROR(D73/C73,"")</f>
        <v/>
      </c>
    </row>
    <row r="28" spans="2:5" ht="18" customHeight="1" x14ac:dyDescent="0.2">
      <c r="B28" s="29" t="str">
        <f>B85</f>
        <v>Mieszkanie / dom</v>
      </c>
      <c r="C28" s="60">
        <f>D85</f>
        <v>0</v>
      </c>
      <c r="D28" s="61"/>
      <c r="E28" s="38" t="str">
        <f>IFERROR(D85/C85,"")</f>
        <v/>
      </c>
    </row>
    <row r="29" spans="2:5" ht="18" customHeight="1" x14ac:dyDescent="0.2">
      <c r="B29" s="29" t="str">
        <f>B97</f>
        <v>Transport</v>
      </c>
      <c r="C29" s="60">
        <f>D97</f>
        <v>0</v>
      </c>
      <c r="D29" s="61"/>
      <c r="E29" s="38" t="str">
        <f>IFERROR(D97/C97,"")</f>
        <v/>
      </c>
    </row>
    <row r="30" spans="2:5" ht="18" customHeight="1" x14ac:dyDescent="0.2">
      <c r="B30" s="29" t="str">
        <f>B109</f>
        <v>Telekomunikacja</v>
      </c>
      <c r="C30" s="60">
        <f>D109</f>
        <v>0</v>
      </c>
      <c r="D30" s="61"/>
      <c r="E30" s="38" t="str">
        <f>IFERROR(D109/C109,"")</f>
        <v/>
      </c>
    </row>
    <row r="31" spans="2:5" ht="18" customHeight="1" x14ac:dyDescent="0.2">
      <c r="B31" s="29" t="str">
        <f>B121</f>
        <v>Opieka zdrowotna</v>
      </c>
      <c r="C31" s="60">
        <f>D121</f>
        <v>0</v>
      </c>
      <c r="D31" s="61"/>
      <c r="E31" s="38" t="str">
        <f>IFERROR(D121/C121,"")</f>
        <v/>
      </c>
    </row>
    <row r="32" spans="2:5" ht="18" customHeight="1" x14ac:dyDescent="0.2">
      <c r="B32" s="29" t="str">
        <f>B133</f>
        <v>Ubranie</v>
      </c>
      <c r="C32" s="60">
        <f>D133</f>
        <v>0</v>
      </c>
      <c r="D32" s="61"/>
      <c r="E32" s="38" t="str">
        <f>IFERROR(D133/C133,"")</f>
        <v/>
      </c>
    </row>
    <row r="33" spans="2:9" ht="18" customHeight="1" x14ac:dyDescent="0.2">
      <c r="B33" s="29" t="str">
        <f>B145</f>
        <v>Higiena</v>
      </c>
      <c r="C33" s="60">
        <f>D145</f>
        <v>0</v>
      </c>
      <c r="D33" s="61"/>
      <c r="E33" s="38" t="str">
        <f>IFERROR(D145/C145,"")</f>
        <v/>
      </c>
    </row>
    <row r="34" spans="2:9" ht="18" customHeight="1" x14ac:dyDescent="0.2">
      <c r="B34" s="29" t="str">
        <f>B157</f>
        <v>Dzieci</v>
      </c>
      <c r="C34" s="60">
        <f>D157</f>
        <v>0</v>
      </c>
      <c r="D34" s="61"/>
      <c r="E34" s="38" t="str">
        <f>IFERROR(D157/C157,"")</f>
        <v/>
      </c>
    </row>
    <row r="35" spans="2:9" ht="18" customHeight="1" x14ac:dyDescent="0.2">
      <c r="B35" s="29" t="str">
        <f>B169</f>
        <v>Rozrywka</v>
      </c>
      <c r="C35" s="60">
        <f>D169</f>
        <v>0</v>
      </c>
      <c r="D35" s="61"/>
      <c r="E35" s="38" t="str">
        <f>IFERROR(D169/C169,"")</f>
        <v/>
      </c>
    </row>
    <row r="36" spans="2:9" ht="18" customHeight="1" x14ac:dyDescent="0.2">
      <c r="B36" s="29" t="str">
        <f>B181</f>
        <v>Inne wydatki</v>
      </c>
      <c r="C36" s="60">
        <f>D181</f>
        <v>0</v>
      </c>
      <c r="D36" s="61"/>
      <c r="E36" s="38" t="str">
        <f>IFERROR(D181/C181,"")</f>
        <v/>
      </c>
    </row>
    <row r="37" spans="2:9" ht="18" customHeight="1" x14ac:dyDescent="0.2">
      <c r="B37" s="29" t="str">
        <f>B193</f>
        <v>Spłata długów</v>
      </c>
      <c r="C37" s="60">
        <f>D193</f>
        <v>0</v>
      </c>
      <c r="D37" s="61"/>
      <c r="E37" s="38" t="str">
        <f>IFERROR(D193/C193,"")</f>
        <v/>
      </c>
    </row>
    <row r="38" spans="2:9" ht="18" customHeight="1" x14ac:dyDescent="0.2">
      <c r="B38" s="29" t="str">
        <f>B205</f>
        <v>Budowanie oszczędności</v>
      </c>
      <c r="C38" s="60">
        <f>D205</f>
        <v>0</v>
      </c>
      <c r="D38" s="61"/>
      <c r="E38" s="38" t="str">
        <f>IFERROR(D205/C205,"")</f>
        <v/>
      </c>
    </row>
    <row r="39" spans="2:9" ht="18" customHeight="1" x14ac:dyDescent="0.2">
      <c r="B39" s="29" t="str">
        <f>B217</f>
        <v>INNE 1</v>
      </c>
      <c r="C39" s="60">
        <f>D217</f>
        <v>0</v>
      </c>
      <c r="D39" s="61"/>
      <c r="E39" s="38" t="str">
        <f>IFERROR(D217/C217,"")</f>
        <v/>
      </c>
    </row>
    <row r="40" spans="2:9" ht="18" customHeight="1" x14ac:dyDescent="0.2">
      <c r="B40" s="29" t="str">
        <f>B229</f>
        <v>INNE 2</v>
      </c>
      <c r="C40" s="60">
        <f>D229</f>
        <v>0</v>
      </c>
      <c r="D40" s="72"/>
      <c r="E40" s="38" t="str">
        <f>IFERROR(D229/C229,"")</f>
        <v/>
      </c>
    </row>
    <row r="41" spans="2:9" ht="18" customHeight="1" x14ac:dyDescent="0.2">
      <c r="B41" s="29" t="str">
        <f>B241</f>
        <v>INNE 3</v>
      </c>
      <c r="C41" s="60">
        <f>D241</f>
        <v>0</v>
      </c>
      <c r="D41" s="72"/>
      <c r="E41" s="38" t="str">
        <f>IFERROR(D241/C241,"")</f>
        <v/>
      </c>
    </row>
    <row r="42" spans="2:9" ht="18" x14ac:dyDescent="0.2">
      <c r="B42" s="29"/>
      <c r="D42" s="30"/>
      <c r="E42" s="18"/>
    </row>
    <row r="43" spans="2:9" x14ac:dyDescent="0.2">
      <c r="B43" s="18"/>
      <c r="C43" s="18"/>
      <c r="D43" s="18"/>
      <c r="E43" s="18"/>
    </row>
    <row r="44" spans="2:9" ht="22" thickBot="1" x14ac:dyDescent="0.3">
      <c r="B44" s="32" t="s">
        <v>42</v>
      </c>
      <c r="C44" s="33"/>
      <c r="D44" s="33"/>
      <c r="E44" s="33"/>
      <c r="F44" s="33"/>
      <c r="G44" s="33"/>
    </row>
    <row r="46" spans="2:9" ht="21" x14ac:dyDescent="0.25">
      <c r="B46" s="44" t="s">
        <v>26</v>
      </c>
      <c r="I46" s="7" t="s">
        <v>43</v>
      </c>
    </row>
    <row r="47" spans="2:9" x14ac:dyDescent="0.2">
      <c r="B47" s="1"/>
    </row>
    <row r="48" spans="2:9" ht="30" x14ac:dyDescent="0.2">
      <c r="B48" s="8" t="s">
        <v>0</v>
      </c>
      <c r="C48" s="9" t="s">
        <v>127</v>
      </c>
      <c r="D48" s="10" t="s">
        <v>128</v>
      </c>
      <c r="E48" s="8" t="s">
        <v>129</v>
      </c>
      <c r="F48" s="9" t="s">
        <v>140</v>
      </c>
      <c r="G48" s="8" t="s">
        <v>41</v>
      </c>
      <c r="I48" s="41" t="s">
        <v>159</v>
      </c>
    </row>
    <row r="49" spans="2:39" ht="26" customHeight="1" x14ac:dyDescent="0.2">
      <c r="B49" s="39" t="s">
        <v>139</v>
      </c>
      <c r="C49" s="40">
        <f>C51</f>
        <v>0</v>
      </c>
      <c r="D49" s="40">
        <f>D51</f>
        <v>0</v>
      </c>
      <c r="E49" s="40">
        <f>D49-C49</f>
        <v>0</v>
      </c>
      <c r="F49" s="8" t="s">
        <v>141</v>
      </c>
      <c r="G49" s="8"/>
      <c r="I49" s="43">
        <f>SUM(I52:I67)</f>
        <v>0</v>
      </c>
      <c r="J49" s="43">
        <f>SUM(J52:J67)</f>
        <v>0</v>
      </c>
      <c r="K49" s="43">
        <f t="shared" ref="K49:AM49" si="0">SUM(K52:K67)</f>
        <v>0</v>
      </c>
      <c r="L49" s="43">
        <f t="shared" si="0"/>
        <v>0</v>
      </c>
      <c r="M49" s="43">
        <f t="shared" si="0"/>
        <v>0</v>
      </c>
      <c r="N49" s="43">
        <f t="shared" si="0"/>
        <v>0</v>
      </c>
      <c r="O49" s="43">
        <f t="shared" si="0"/>
        <v>0</v>
      </c>
      <c r="P49" s="43">
        <f t="shared" si="0"/>
        <v>0</v>
      </c>
      <c r="Q49" s="43">
        <f t="shared" si="0"/>
        <v>0</v>
      </c>
      <c r="R49" s="43">
        <f t="shared" si="0"/>
        <v>0</v>
      </c>
      <c r="S49" s="43">
        <f t="shared" si="0"/>
        <v>0</v>
      </c>
      <c r="T49" s="43">
        <f t="shared" si="0"/>
        <v>0</v>
      </c>
      <c r="U49" s="43">
        <f t="shared" si="0"/>
        <v>0</v>
      </c>
      <c r="V49" s="43">
        <f t="shared" si="0"/>
        <v>0</v>
      </c>
      <c r="W49" s="43">
        <f t="shared" si="0"/>
        <v>0</v>
      </c>
      <c r="X49" s="43">
        <f t="shared" si="0"/>
        <v>0</v>
      </c>
      <c r="Y49" s="43">
        <f t="shared" si="0"/>
        <v>0</v>
      </c>
      <c r="Z49" s="43">
        <f t="shared" si="0"/>
        <v>0</v>
      </c>
      <c r="AA49" s="43">
        <f t="shared" si="0"/>
        <v>0</v>
      </c>
      <c r="AB49" s="43">
        <f t="shared" si="0"/>
        <v>0</v>
      </c>
      <c r="AC49" s="43">
        <f t="shared" si="0"/>
        <v>0</v>
      </c>
      <c r="AD49" s="43">
        <f t="shared" si="0"/>
        <v>0</v>
      </c>
      <c r="AE49" s="43">
        <f t="shared" si="0"/>
        <v>0</v>
      </c>
      <c r="AF49" s="43">
        <f t="shared" si="0"/>
        <v>0</v>
      </c>
      <c r="AG49" s="43">
        <f t="shared" si="0"/>
        <v>0</v>
      </c>
      <c r="AH49" s="43">
        <f t="shared" si="0"/>
        <v>0</v>
      </c>
      <c r="AI49" s="43">
        <f t="shared" si="0"/>
        <v>0</v>
      </c>
      <c r="AJ49" s="43">
        <f t="shared" si="0"/>
        <v>0</v>
      </c>
      <c r="AK49" s="43">
        <f t="shared" si="0"/>
        <v>0</v>
      </c>
      <c r="AL49" s="43">
        <f t="shared" si="0"/>
        <v>0</v>
      </c>
      <c r="AM49" s="43">
        <f t="shared" si="0"/>
        <v>0</v>
      </c>
    </row>
    <row r="50" spans="2:39" x14ac:dyDescent="0.2">
      <c r="B50" s="1"/>
    </row>
    <row r="51" spans="2:39" x14ac:dyDescent="0.2">
      <c r="B51" s="14" t="str">
        <f>'Wzorzec kategorii'!B14</f>
        <v>Całkowite przychody</v>
      </c>
      <c r="C51" s="15">
        <f>SUM(Tabela71899[[#All],[Kolumna2]])</f>
        <v>0</v>
      </c>
      <c r="D51" s="16">
        <f>SUM(Tabela71899[[#All],[Kolumna3]])</f>
        <v>0</v>
      </c>
      <c r="E51" s="15">
        <f>D51-C51</f>
        <v>0</v>
      </c>
      <c r="F51" s="17" t="str">
        <f>IFERROR(D51/C51,"")</f>
        <v/>
      </c>
      <c r="G51" s="15"/>
      <c r="I51" s="11" t="s">
        <v>44</v>
      </c>
      <c r="J51" s="11" t="s">
        <v>45</v>
      </c>
      <c r="K51" s="11" t="s">
        <v>46</v>
      </c>
      <c r="L51" s="11" t="s">
        <v>47</v>
      </c>
      <c r="M51" s="11" t="s">
        <v>48</v>
      </c>
      <c r="N51" s="11" t="s">
        <v>49</v>
      </c>
      <c r="O51" s="11" t="s">
        <v>50</v>
      </c>
      <c r="P51" s="11" t="s">
        <v>51</v>
      </c>
      <c r="Q51" s="11" t="s">
        <v>52</v>
      </c>
      <c r="R51" s="11" t="s">
        <v>53</v>
      </c>
      <c r="S51" s="11" t="s">
        <v>54</v>
      </c>
      <c r="T51" s="11" t="s">
        <v>55</v>
      </c>
      <c r="U51" s="11" t="s">
        <v>56</v>
      </c>
      <c r="V51" s="11" t="s">
        <v>57</v>
      </c>
      <c r="W51" s="11" t="s">
        <v>58</v>
      </c>
      <c r="X51" s="11" t="s">
        <v>59</v>
      </c>
      <c r="Y51" s="11" t="s">
        <v>60</v>
      </c>
      <c r="Z51" s="11" t="s">
        <v>61</v>
      </c>
      <c r="AA51" s="11" t="s">
        <v>62</v>
      </c>
      <c r="AB51" s="11" t="s">
        <v>63</v>
      </c>
      <c r="AC51" s="11" t="s">
        <v>64</v>
      </c>
      <c r="AD51" s="11" t="s">
        <v>65</v>
      </c>
      <c r="AE51" s="11" t="s">
        <v>66</v>
      </c>
      <c r="AF51" s="11" t="s">
        <v>67</v>
      </c>
      <c r="AG51" s="11" t="s">
        <v>68</v>
      </c>
      <c r="AH51" s="11" t="s">
        <v>69</v>
      </c>
      <c r="AI51" s="11" t="s">
        <v>70</v>
      </c>
      <c r="AJ51" s="11" t="s">
        <v>71</v>
      </c>
      <c r="AK51" s="11" t="s">
        <v>72</v>
      </c>
      <c r="AL51" s="11" t="s">
        <v>73</v>
      </c>
      <c r="AM51" s="11" t="s">
        <v>74</v>
      </c>
    </row>
    <row r="52" spans="2:39" x14ac:dyDescent="0.2">
      <c r="B52" s="22" t="str">
        <f>'Wzorzec kategorii'!B15</f>
        <v>Wynagrodzenie</v>
      </c>
      <c r="C52" s="19">
        <v>0</v>
      </c>
      <c r="D52" s="47">
        <f>SUM(Tabela33064128[#This Row])</f>
        <v>0</v>
      </c>
      <c r="E52" s="20">
        <f>Tabela71899[[#This Row],[Kolumna3]]-Tabela71899[[#This Row],[Kolumna2]]</f>
        <v>0</v>
      </c>
      <c r="F52" s="21" t="str">
        <f t="shared" ref="F52:F66" si="1">IFERROR(D52/C52,"")</f>
        <v/>
      </c>
      <c r="G52" s="2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ht="30" x14ac:dyDescent="0.2">
      <c r="B53" s="22" t="str">
        <f>'Wzorzec kategorii'!B16</f>
        <v>Wynagrodzenie Partnera / Partnerki</v>
      </c>
      <c r="C53" s="19">
        <v>0</v>
      </c>
      <c r="D53" s="47">
        <f>SUM(Tabela33064128[#This Row])</f>
        <v>0</v>
      </c>
      <c r="E53" s="20">
        <f>Tabela71899[[#This Row],[Kolumna3]]-Tabela71899[[#This Row],[Kolumna2]]</f>
        <v>0</v>
      </c>
      <c r="F53" s="21" t="str">
        <f t="shared" si="1"/>
        <v/>
      </c>
      <c r="G53" s="2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x14ac:dyDescent="0.2">
      <c r="B54" s="22" t="str">
        <f>'Wzorzec kategorii'!B17</f>
        <v>Premia</v>
      </c>
      <c r="C54" s="19">
        <v>0</v>
      </c>
      <c r="D54" s="47">
        <f>SUM(Tabela33064128[#This Row])</f>
        <v>0</v>
      </c>
      <c r="E54" s="20">
        <f>Tabela71899[[#This Row],[Kolumna3]]-Tabela71899[[#This Row],[Kolumna2]]</f>
        <v>0</v>
      </c>
      <c r="F54" s="21" t="str">
        <f t="shared" si="1"/>
        <v/>
      </c>
      <c r="G54" s="2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x14ac:dyDescent="0.2">
      <c r="B55" s="22" t="str">
        <f>'Wzorzec kategorii'!B18</f>
        <v>Przychody z premii bankowych</v>
      </c>
      <c r="C55" s="19">
        <v>0</v>
      </c>
      <c r="D55" s="47">
        <f>SUM(Tabela33064128[#This Row])</f>
        <v>0</v>
      </c>
      <c r="E55" s="20">
        <f>Tabela71899[[#This Row],[Kolumna3]]-Tabela71899[[#This Row],[Kolumna2]]</f>
        <v>0</v>
      </c>
      <c r="F55" s="21" t="str">
        <f t="shared" si="1"/>
        <v/>
      </c>
      <c r="G55" s="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x14ac:dyDescent="0.2">
      <c r="B56" s="22" t="str">
        <f>'Wzorzec kategorii'!B19</f>
        <v>Odsetki bankowe</v>
      </c>
      <c r="C56" s="19">
        <v>0</v>
      </c>
      <c r="D56" s="47">
        <f>SUM(Tabela33064128[#This Row])</f>
        <v>0</v>
      </c>
      <c r="E56" s="20">
        <f>Tabela71899[[#This Row],[Kolumna3]]-Tabela71899[[#This Row],[Kolumna2]]</f>
        <v>0</v>
      </c>
      <c r="F56" s="21" t="str">
        <f t="shared" si="1"/>
        <v/>
      </c>
      <c r="G56" s="2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2:39" x14ac:dyDescent="0.2">
      <c r="B57" s="22" t="str">
        <f>'Wzorzec kategorii'!B20</f>
        <v>Sprzedaż na Allegro itp.</v>
      </c>
      <c r="C57" s="19">
        <v>0</v>
      </c>
      <c r="D57" s="47">
        <f>SUM(Tabela33064128[#This Row])</f>
        <v>0</v>
      </c>
      <c r="E57" s="20">
        <f>Tabela71899[[#This Row],[Kolumna3]]-Tabela71899[[#This Row],[Kolumna2]]</f>
        <v>0</v>
      </c>
      <c r="F57" s="21" t="str">
        <f t="shared" si="1"/>
        <v/>
      </c>
      <c r="G57" s="2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9" x14ac:dyDescent="0.2">
      <c r="B58" s="22" t="str">
        <f>'Wzorzec kategorii'!B21</f>
        <v>Inne przychody</v>
      </c>
      <c r="C58" s="19">
        <v>0</v>
      </c>
      <c r="D58" s="47">
        <f>SUM(Tabela33064128[#This Row])</f>
        <v>0</v>
      </c>
      <c r="E58" s="20">
        <f>Tabela71899[[#This Row],[Kolumna3]]-Tabela71899[[#This Row],[Kolumna2]]</f>
        <v>0</v>
      </c>
      <c r="F58" s="21" t="str">
        <f t="shared" si="1"/>
        <v/>
      </c>
      <c r="G58" s="2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2:39" x14ac:dyDescent="0.2">
      <c r="B59" s="22" t="str">
        <f>'Wzorzec kategorii'!B22</f>
        <v>.</v>
      </c>
      <c r="C59" s="19">
        <v>0</v>
      </c>
      <c r="D59" s="47">
        <f>SUM(Tabela33064128[#This Row])</f>
        <v>0</v>
      </c>
      <c r="E59" s="20">
        <f>Tabela71899[[#This Row],[Kolumna3]]-Tabela71899[[#This Row],[Kolumna2]]</f>
        <v>0</v>
      </c>
      <c r="F59" s="53" t="str">
        <f t="shared" si="1"/>
        <v/>
      </c>
      <c r="G59" s="2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2:39" x14ac:dyDescent="0.2">
      <c r="B60" s="22" t="str">
        <f>'Wzorzec kategorii'!B23</f>
        <v>.</v>
      </c>
      <c r="C60" s="19">
        <v>0</v>
      </c>
      <c r="D60" s="47">
        <f>SUM(Tabela33064128[#This Row])</f>
        <v>0</v>
      </c>
      <c r="E60" s="20">
        <f>Tabela71899[[#This Row],[Kolumna3]]-Tabela71899[[#This Row],[Kolumna2]]</f>
        <v>0</v>
      </c>
      <c r="F60" s="53" t="str">
        <f t="shared" si="1"/>
        <v/>
      </c>
      <c r="G60" s="2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2:39" x14ac:dyDescent="0.2">
      <c r="B61" s="22" t="str">
        <f>'Wzorzec kategorii'!B24</f>
        <v>.</v>
      </c>
      <c r="C61" s="19">
        <v>0</v>
      </c>
      <c r="D61" s="47">
        <f>SUM(Tabela33064128[#This Row])</f>
        <v>0</v>
      </c>
      <c r="E61" s="20">
        <f>Tabela71899[[#This Row],[Kolumna3]]-Tabela71899[[#This Row],[Kolumna2]]</f>
        <v>0</v>
      </c>
      <c r="F61" s="53" t="str">
        <f t="shared" si="1"/>
        <v/>
      </c>
      <c r="G61" s="2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2:39" x14ac:dyDescent="0.2">
      <c r="B62" s="22" t="str">
        <f>'Wzorzec kategorii'!B25</f>
        <v>.</v>
      </c>
      <c r="C62" s="19">
        <v>0</v>
      </c>
      <c r="D62" s="47">
        <f>SUM(Tabela33064128[#This Row])</f>
        <v>0</v>
      </c>
      <c r="E62" s="20">
        <f>Tabela71899[[#This Row],[Kolumna3]]-Tabela71899[[#This Row],[Kolumna2]]</f>
        <v>0</v>
      </c>
      <c r="F62" s="53" t="str">
        <f t="shared" si="1"/>
        <v/>
      </c>
      <c r="G62" s="2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:39" x14ac:dyDescent="0.2">
      <c r="B63" s="22" t="str">
        <f>'Wzorzec kategorii'!B26</f>
        <v>.</v>
      </c>
      <c r="C63" s="19">
        <v>0</v>
      </c>
      <c r="D63" s="47">
        <f>SUM(Tabela33064128[#This Row])</f>
        <v>0</v>
      </c>
      <c r="E63" s="20">
        <f>Tabela71899[[#This Row],[Kolumna3]]-Tabela71899[[#This Row],[Kolumna2]]</f>
        <v>0</v>
      </c>
      <c r="F63" s="53" t="str">
        <f t="shared" si="1"/>
        <v/>
      </c>
      <c r="G63" s="2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x14ac:dyDescent="0.2">
      <c r="B64" s="22" t="str">
        <f>'Wzorzec kategorii'!B27</f>
        <v>.</v>
      </c>
      <c r="C64" s="19">
        <v>0</v>
      </c>
      <c r="D64" s="47">
        <f>SUM(Tabela33064128[#This Row])</f>
        <v>0</v>
      </c>
      <c r="E64" s="20">
        <f>Tabela71899[[#This Row],[Kolumna3]]-Tabela71899[[#This Row],[Kolumna2]]</f>
        <v>0</v>
      </c>
      <c r="F64" s="53" t="str">
        <f t="shared" si="1"/>
        <v/>
      </c>
      <c r="G64" s="2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:39" x14ac:dyDescent="0.2">
      <c r="B65" s="22" t="str">
        <f>'Wzorzec kategorii'!B28</f>
        <v>.</v>
      </c>
      <c r="C65" s="19">
        <v>0</v>
      </c>
      <c r="D65" s="47">
        <f>SUM(Tabela33064128[#This Row])</f>
        <v>0</v>
      </c>
      <c r="E65" s="20">
        <f>Tabela71899[[#This Row],[Kolumna3]]-Tabela71899[[#This Row],[Kolumna2]]</f>
        <v>0</v>
      </c>
      <c r="F65" s="53" t="str">
        <f t="shared" si="1"/>
        <v/>
      </c>
      <c r="G65" s="2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39" x14ac:dyDescent="0.2">
      <c r="B66" s="22" t="str">
        <f>'Wzorzec kategorii'!B29</f>
        <v>.</v>
      </c>
      <c r="C66" s="19">
        <v>0</v>
      </c>
      <c r="D66" s="47">
        <f>SUM(Tabela33064128[#This Row])</f>
        <v>0</v>
      </c>
      <c r="E66" s="20">
        <f>Tabela71899[[#This Row],[Kolumna3]]-Tabela71899[[#This Row],[Kolumna2]]</f>
        <v>0</v>
      </c>
      <c r="F66" s="53" t="str">
        <f t="shared" si="1"/>
        <v/>
      </c>
      <c r="G66" s="2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:39" x14ac:dyDescent="0.2">
      <c r="B67" s="5" t="s">
        <v>30</v>
      </c>
    </row>
    <row r="68" spans="2:39" ht="21" x14ac:dyDescent="0.25">
      <c r="B68" s="44" t="s">
        <v>25</v>
      </c>
      <c r="I68" s="7" t="s">
        <v>43</v>
      </c>
    </row>
    <row r="70" spans="2:39" ht="30" x14ac:dyDescent="0.2">
      <c r="B70" s="8" t="s">
        <v>0</v>
      </c>
      <c r="C70" s="9" t="s">
        <v>131</v>
      </c>
      <c r="D70" s="10" t="s">
        <v>135</v>
      </c>
      <c r="E70" s="8" t="s">
        <v>129</v>
      </c>
      <c r="F70" s="9" t="s">
        <v>140</v>
      </c>
      <c r="G70" s="8" t="s">
        <v>41</v>
      </c>
      <c r="I70" s="41" t="s">
        <v>142</v>
      </c>
    </row>
    <row r="71" spans="2:39" ht="24" customHeight="1" x14ac:dyDescent="0.2">
      <c r="B71" s="39" t="s">
        <v>139</v>
      </c>
      <c r="C71" s="40">
        <f>C73+C85+C97+C109+C121+C133+C145+C157+C169+C181+C193+C205+C217+C229+C241</f>
        <v>0</v>
      </c>
      <c r="D71" s="40">
        <f>D73+D85+D97+D109+D121+D133+D145+D157+D169+D181+D193+D205+D217+D229+D241</f>
        <v>0</v>
      </c>
      <c r="E71" s="40">
        <f>C71-D71</f>
        <v>0</v>
      </c>
      <c r="F71" s="8" t="s">
        <v>141</v>
      </c>
      <c r="G71" s="8"/>
      <c r="I71" s="43">
        <f>SUM(I73:I251)</f>
        <v>0</v>
      </c>
      <c r="J71" s="43">
        <f>SUM(J73:J251)</f>
        <v>0</v>
      </c>
      <c r="K71" s="43">
        <f t="shared" ref="K71:AM71" si="2">SUM(K73:K251)</f>
        <v>0</v>
      </c>
      <c r="L71" s="43">
        <f t="shared" si="2"/>
        <v>0</v>
      </c>
      <c r="M71" s="43">
        <f t="shared" si="2"/>
        <v>0</v>
      </c>
      <c r="N71" s="43">
        <f t="shared" si="2"/>
        <v>0</v>
      </c>
      <c r="O71" s="43">
        <f t="shared" si="2"/>
        <v>0</v>
      </c>
      <c r="P71" s="43">
        <f t="shared" si="2"/>
        <v>0</v>
      </c>
      <c r="Q71" s="43">
        <f t="shared" si="2"/>
        <v>0</v>
      </c>
      <c r="R71" s="43">
        <f t="shared" si="2"/>
        <v>0</v>
      </c>
      <c r="S71" s="43">
        <f t="shared" si="2"/>
        <v>0</v>
      </c>
      <c r="T71" s="43">
        <f t="shared" si="2"/>
        <v>0</v>
      </c>
      <c r="U71" s="43">
        <f t="shared" si="2"/>
        <v>0</v>
      </c>
      <c r="V71" s="43">
        <f t="shared" si="2"/>
        <v>0</v>
      </c>
      <c r="W71" s="43">
        <f t="shared" si="2"/>
        <v>0</v>
      </c>
      <c r="X71" s="43">
        <f t="shared" si="2"/>
        <v>0</v>
      </c>
      <c r="Y71" s="43">
        <f t="shared" si="2"/>
        <v>0</v>
      </c>
      <c r="Z71" s="43">
        <f t="shared" si="2"/>
        <v>0</v>
      </c>
      <c r="AA71" s="43">
        <f t="shared" si="2"/>
        <v>0</v>
      </c>
      <c r="AB71" s="43">
        <f t="shared" si="2"/>
        <v>0</v>
      </c>
      <c r="AC71" s="43">
        <f t="shared" si="2"/>
        <v>0</v>
      </c>
      <c r="AD71" s="43">
        <f t="shared" si="2"/>
        <v>0</v>
      </c>
      <c r="AE71" s="43">
        <f t="shared" si="2"/>
        <v>0</v>
      </c>
      <c r="AF71" s="43">
        <f t="shared" si="2"/>
        <v>0</v>
      </c>
      <c r="AG71" s="43">
        <f t="shared" si="2"/>
        <v>0</v>
      </c>
      <c r="AH71" s="43">
        <f t="shared" si="2"/>
        <v>0</v>
      </c>
      <c r="AI71" s="43">
        <f t="shared" si="2"/>
        <v>0</v>
      </c>
      <c r="AJ71" s="43">
        <f t="shared" si="2"/>
        <v>0</v>
      </c>
      <c r="AK71" s="43">
        <f t="shared" si="2"/>
        <v>0</v>
      </c>
      <c r="AL71" s="43">
        <f t="shared" si="2"/>
        <v>0</v>
      </c>
      <c r="AM71" s="43">
        <f t="shared" si="2"/>
        <v>0</v>
      </c>
    </row>
    <row r="73" spans="2:39" x14ac:dyDescent="0.2">
      <c r="B73" s="14" t="str">
        <f>'Wzorzec kategorii'!B35</f>
        <v>Jedzenie</v>
      </c>
      <c r="C73" s="15">
        <f>SUM(Jedzenie297[[#All],[0]])</f>
        <v>0</v>
      </c>
      <c r="D73" s="16">
        <f>SUM(Jedzenie297[[#All],[02]])</f>
        <v>0</v>
      </c>
      <c r="E73" s="15">
        <f t="shared" ref="E73:E83" si="3">C73-D73</f>
        <v>0</v>
      </c>
      <c r="F73" s="17" t="str">
        <f t="shared" ref="F73:F83" si="4">IFERROR(D73/C73,"")</f>
        <v/>
      </c>
      <c r="G73" s="23"/>
      <c r="I73" s="11" t="s">
        <v>44</v>
      </c>
      <c r="J73" s="11" t="s">
        <v>45</v>
      </c>
      <c r="K73" s="11" t="s">
        <v>46</v>
      </c>
      <c r="L73" s="11" t="s">
        <v>47</v>
      </c>
      <c r="M73" s="11" t="s">
        <v>48</v>
      </c>
      <c r="N73" s="11" t="s">
        <v>49</v>
      </c>
      <c r="O73" s="11" t="s">
        <v>50</v>
      </c>
      <c r="P73" s="11" t="s">
        <v>51</v>
      </c>
      <c r="Q73" s="11" t="s">
        <v>52</v>
      </c>
      <c r="R73" s="11" t="s">
        <v>53</v>
      </c>
      <c r="S73" s="11" t="s">
        <v>54</v>
      </c>
      <c r="T73" s="11" t="s">
        <v>55</v>
      </c>
      <c r="U73" s="11" t="s">
        <v>56</v>
      </c>
      <c r="V73" s="11" t="s">
        <v>57</v>
      </c>
      <c r="W73" s="11" t="s">
        <v>58</v>
      </c>
      <c r="X73" s="11" t="s">
        <v>59</v>
      </c>
      <c r="Y73" s="11" t="s">
        <v>60</v>
      </c>
      <c r="Z73" s="11" t="s">
        <v>61</v>
      </c>
      <c r="AA73" s="11" t="s">
        <v>62</v>
      </c>
      <c r="AB73" s="11" t="s">
        <v>63</v>
      </c>
      <c r="AC73" s="11" t="s">
        <v>64</v>
      </c>
      <c r="AD73" s="11" t="s">
        <v>65</v>
      </c>
      <c r="AE73" s="11" t="s">
        <v>66</v>
      </c>
      <c r="AF73" s="11" t="s">
        <v>67</v>
      </c>
      <c r="AG73" s="11" t="s">
        <v>68</v>
      </c>
      <c r="AH73" s="11" t="s">
        <v>69</v>
      </c>
      <c r="AI73" s="11" t="s">
        <v>70</v>
      </c>
      <c r="AJ73" s="11" t="s">
        <v>71</v>
      </c>
      <c r="AK73" s="11" t="s">
        <v>72</v>
      </c>
      <c r="AL73" s="11" t="s">
        <v>73</v>
      </c>
      <c r="AM73" s="11" t="s">
        <v>74</v>
      </c>
    </row>
    <row r="74" spans="2:39" x14ac:dyDescent="0.2">
      <c r="B74" s="22" t="str">
        <f>'Wzorzec kategorii'!B36</f>
        <v>Jedzenie dom</v>
      </c>
      <c r="C74" s="19">
        <v>0</v>
      </c>
      <c r="D74" s="20">
        <f>SUM(Tabela330100[#This Row])</f>
        <v>0</v>
      </c>
      <c r="E74" s="20">
        <f t="shared" si="3"/>
        <v>0</v>
      </c>
      <c r="F74" s="21" t="str">
        <f t="shared" si="4"/>
        <v/>
      </c>
      <c r="G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2:39" x14ac:dyDescent="0.2">
      <c r="B75" s="22" t="str">
        <f>'Wzorzec kategorii'!B37</f>
        <v>Jedzenie miasto</v>
      </c>
      <c r="C75" s="19">
        <v>0</v>
      </c>
      <c r="D75" s="20">
        <f>SUM(Tabela330100[#This Row])</f>
        <v>0</v>
      </c>
      <c r="E75" s="20">
        <f t="shared" si="3"/>
        <v>0</v>
      </c>
      <c r="F75" s="21" t="str">
        <f t="shared" si="4"/>
        <v/>
      </c>
      <c r="G75" s="2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:39" x14ac:dyDescent="0.2">
      <c r="B76" s="22" t="str">
        <f>'Wzorzec kategorii'!B38</f>
        <v>Jedzenie praca</v>
      </c>
      <c r="C76" s="19">
        <v>0</v>
      </c>
      <c r="D76" s="20">
        <f>SUM(Tabela330100[#This Row])</f>
        <v>0</v>
      </c>
      <c r="E76" s="20">
        <f t="shared" si="3"/>
        <v>0</v>
      </c>
      <c r="F76" s="21" t="str">
        <f t="shared" si="4"/>
        <v/>
      </c>
      <c r="G76" s="2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2:39" x14ac:dyDescent="0.2">
      <c r="B77" s="22" t="str">
        <f>'Wzorzec kategorii'!B39</f>
        <v>Alkohol</v>
      </c>
      <c r="C77" s="19">
        <v>0</v>
      </c>
      <c r="D77" s="20">
        <f>SUM(Tabela330100[#This Row])</f>
        <v>0</v>
      </c>
      <c r="E77" s="20">
        <f t="shared" si="3"/>
        <v>0</v>
      </c>
      <c r="F77" s="21" t="str">
        <f t="shared" si="4"/>
        <v/>
      </c>
      <c r="G77" s="2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2:39" x14ac:dyDescent="0.2">
      <c r="B78" s="22" t="str">
        <f>'Wzorzec kategorii'!B40</f>
        <v>Inne</v>
      </c>
      <c r="C78" s="19">
        <v>0</v>
      </c>
      <c r="D78" s="20">
        <f>SUM(Tabela330100[#This Row])</f>
        <v>0</v>
      </c>
      <c r="E78" s="20">
        <f t="shared" si="3"/>
        <v>0</v>
      </c>
      <c r="F78" s="21" t="str">
        <f t="shared" si="4"/>
        <v/>
      </c>
      <c r="G78" s="2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:39" x14ac:dyDescent="0.2">
      <c r="B79" s="22" t="str">
        <f>'Wzorzec kategorii'!B41</f>
        <v>.</v>
      </c>
      <c r="C79" s="19">
        <v>0</v>
      </c>
      <c r="D79" s="20">
        <f>SUM(Tabela330100[#This Row])</f>
        <v>0</v>
      </c>
      <c r="E79" s="20">
        <f t="shared" si="3"/>
        <v>0</v>
      </c>
      <c r="F79" s="53" t="str">
        <f t="shared" si="4"/>
        <v/>
      </c>
      <c r="G79" s="5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:39" x14ac:dyDescent="0.2">
      <c r="B80" s="22" t="str">
        <f>'Wzorzec kategorii'!B42</f>
        <v>.</v>
      </c>
      <c r="C80" s="19">
        <v>0</v>
      </c>
      <c r="D80" s="20">
        <f>SUM(Tabela330100[#This Row])</f>
        <v>0</v>
      </c>
      <c r="E80" s="20">
        <f t="shared" si="3"/>
        <v>0</v>
      </c>
      <c r="F80" s="53" t="str">
        <f t="shared" si="4"/>
        <v/>
      </c>
      <c r="G80" s="5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2:41" x14ac:dyDescent="0.2">
      <c r="B81" s="22" t="str">
        <f>'Wzorzec kategorii'!B43</f>
        <v>.</v>
      </c>
      <c r="C81" s="19">
        <v>0</v>
      </c>
      <c r="D81" s="20">
        <f>SUM(Tabela330100[#This Row])</f>
        <v>0</v>
      </c>
      <c r="E81" s="20">
        <f t="shared" si="3"/>
        <v>0</v>
      </c>
      <c r="F81" s="53" t="str">
        <f t="shared" si="4"/>
        <v/>
      </c>
      <c r="G81" s="5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2:41" x14ac:dyDescent="0.2">
      <c r="B82" s="22" t="str">
        <f>'Wzorzec kategorii'!B44</f>
        <v>.</v>
      </c>
      <c r="C82" s="19">
        <v>0</v>
      </c>
      <c r="D82" s="20">
        <f>SUM(Tabela330100[#This Row])</f>
        <v>0</v>
      </c>
      <c r="E82" s="20">
        <f t="shared" si="3"/>
        <v>0</v>
      </c>
      <c r="F82" s="53" t="str">
        <f t="shared" si="4"/>
        <v/>
      </c>
      <c r="G82" s="5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2:41" x14ac:dyDescent="0.2">
      <c r="B83" s="22" t="str">
        <f>'Wzorzec kategorii'!B45</f>
        <v>.</v>
      </c>
      <c r="C83" s="19">
        <v>0</v>
      </c>
      <c r="D83" s="20">
        <f>SUM(Tabela330100[#This Row])</f>
        <v>0</v>
      </c>
      <c r="E83" s="20">
        <f t="shared" si="3"/>
        <v>0</v>
      </c>
      <c r="F83" s="53" t="str">
        <f t="shared" si="4"/>
        <v/>
      </c>
      <c r="G83" s="5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2:41" x14ac:dyDescent="0.2">
      <c r="B84" s="5" t="s">
        <v>30</v>
      </c>
      <c r="C84" s="6"/>
      <c r="D84" s="4"/>
      <c r="E84" s="4"/>
      <c r="F84" s="4"/>
      <c r="G84" s="4"/>
      <c r="I84" s="5" t="s">
        <v>30</v>
      </c>
    </row>
    <row r="85" spans="2:41" x14ac:dyDescent="0.2">
      <c r="B85" s="14" t="str">
        <f>'Wzorzec kategorii'!B47</f>
        <v>Mieszkanie / dom</v>
      </c>
      <c r="C85" s="15">
        <f>SUM(Tabela431101[[#All],[Kolumna2]])</f>
        <v>0</v>
      </c>
      <c r="D85" s="16">
        <f>SUM(Tabela431101[[#All],[Kolumna3]])</f>
        <v>0</v>
      </c>
      <c r="E85" s="15">
        <f>C85-D85</f>
        <v>0</v>
      </c>
      <c r="F85" s="17" t="str">
        <f>IFERROR(D85/C85,"")</f>
        <v/>
      </c>
      <c r="G85" s="23"/>
      <c r="I85" s="11" t="s">
        <v>44</v>
      </c>
      <c r="J85" s="11" t="s">
        <v>45</v>
      </c>
      <c r="K85" s="11" t="s">
        <v>46</v>
      </c>
      <c r="L85" s="11" t="s">
        <v>47</v>
      </c>
      <c r="M85" s="11" t="s">
        <v>48</v>
      </c>
      <c r="N85" s="11" t="s">
        <v>49</v>
      </c>
      <c r="O85" s="11" t="s">
        <v>50</v>
      </c>
      <c r="P85" s="11" t="s">
        <v>51</v>
      </c>
      <c r="Q85" s="11" t="s">
        <v>52</v>
      </c>
      <c r="R85" s="11" t="s">
        <v>53</v>
      </c>
      <c r="S85" s="11" t="s">
        <v>54</v>
      </c>
      <c r="T85" s="11" t="s">
        <v>55</v>
      </c>
      <c r="U85" s="11" t="s">
        <v>56</v>
      </c>
      <c r="V85" s="11" t="s">
        <v>57</v>
      </c>
      <c r="W85" s="11" t="s">
        <v>58</v>
      </c>
      <c r="X85" s="11" t="s">
        <v>59</v>
      </c>
      <c r="Y85" s="11" t="s">
        <v>60</v>
      </c>
      <c r="Z85" s="11" t="s">
        <v>61</v>
      </c>
      <c r="AA85" s="11" t="s">
        <v>62</v>
      </c>
      <c r="AB85" s="11" t="s">
        <v>63</v>
      </c>
      <c r="AC85" s="11" t="s">
        <v>64</v>
      </c>
      <c r="AD85" s="11" t="s">
        <v>65</v>
      </c>
      <c r="AE85" s="11" t="s">
        <v>66</v>
      </c>
      <c r="AF85" s="11" t="s">
        <v>67</v>
      </c>
      <c r="AG85" s="11" t="s">
        <v>68</v>
      </c>
      <c r="AH85" s="11" t="s">
        <v>69</v>
      </c>
      <c r="AI85" s="11" t="s">
        <v>70</v>
      </c>
      <c r="AJ85" s="11" t="s">
        <v>71</v>
      </c>
      <c r="AK85" s="11" t="s">
        <v>72</v>
      </c>
      <c r="AL85" s="11" t="s">
        <v>73</v>
      </c>
      <c r="AM85" s="11" t="s">
        <v>74</v>
      </c>
      <c r="AN85" s="25"/>
      <c r="AO85" s="25"/>
    </row>
    <row r="86" spans="2:41" x14ac:dyDescent="0.2">
      <c r="B86" s="22" t="str">
        <f>'Wzorzec kategorii'!B48</f>
        <v>Czynsz</v>
      </c>
      <c r="C86" s="19">
        <v>0</v>
      </c>
      <c r="D86" s="20">
        <f>SUM(Tabela1841111[#This Row])</f>
        <v>0</v>
      </c>
      <c r="E86" s="20">
        <f t="shared" ref="E86:E95" si="5">C86-D86</f>
        <v>0</v>
      </c>
      <c r="F86" s="21" t="str">
        <f t="shared" ref="F86:F95" si="6">IFERROR(D86/C86,"")</f>
        <v/>
      </c>
      <c r="G86" s="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25"/>
      <c r="AO86" s="25"/>
    </row>
    <row r="87" spans="2:41" x14ac:dyDescent="0.2">
      <c r="B87" s="22" t="str">
        <f>'Wzorzec kategorii'!B49</f>
        <v>Woda i kanalizacja</v>
      </c>
      <c r="C87" s="19">
        <v>0</v>
      </c>
      <c r="D87" s="20">
        <f>SUM(Tabela1841111[#This Row])</f>
        <v>0</v>
      </c>
      <c r="E87" s="20">
        <f t="shared" si="5"/>
        <v>0</v>
      </c>
      <c r="F87" s="21" t="str">
        <f t="shared" si="6"/>
        <v/>
      </c>
      <c r="G87" s="2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25"/>
      <c r="AO87" s="25"/>
    </row>
    <row r="88" spans="2:41" x14ac:dyDescent="0.2">
      <c r="B88" s="22" t="str">
        <f>'Wzorzec kategorii'!B50</f>
        <v>Prąd</v>
      </c>
      <c r="C88" s="19">
        <v>0</v>
      </c>
      <c r="D88" s="20">
        <f>SUM(Tabela1841111[#This Row])</f>
        <v>0</v>
      </c>
      <c r="E88" s="20">
        <f t="shared" si="5"/>
        <v>0</v>
      </c>
      <c r="F88" s="21" t="str">
        <f t="shared" si="6"/>
        <v/>
      </c>
      <c r="G88" s="2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25"/>
      <c r="AO88" s="25"/>
    </row>
    <row r="89" spans="2:41" x14ac:dyDescent="0.2">
      <c r="B89" s="22" t="str">
        <f>'Wzorzec kategorii'!B51</f>
        <v>Gaz</v>
      </c>
      <c r="C89" s="19">
        <v>0</v>
      </c>
      <c r="D89" s="20">
        <f>SUM(Tabela1841111[#This Row])</f>
        <v>0</v>
      </c>
      <c r="E89" s="20">
        <f t="shared" si="5"/>
        <v>0</v>
      </c>
      <c r="F89" s="21" t="str">
        <f t="shared" si="6"/>
        <v/>
      </c>
      <c r="G89" s="2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25"/>
      <c r="AO89" s="25"/>
    </row>
    <row r="90" spans="2:41" x14ac:dyDescent="0.2">
      <c r="B90" s="22" t="str">
        <f>'Wzorzec kategorii'!B52</f>
        <v>Ogrzewanie</v>
      </c>
      <c r="C90" s="19">
        <v>0</v>
      </c>
      <c r="D90" s="20">
        <f>SUM(Tabela1841111[#This Row])</f>
        <v>0</v>
      </c>
      <c r="E90" s="20">
        <f t="shared" si="5"/>
        <v>0</v>
      </c>
      <c r="F90" s="21" t="str">
        <f t="shared" si="6"/>
        <v/>
      </c>
      <c r="G90" s="24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25"/>
      <c r="AO90" s="25"/>
    </row>
    <row r="91" spans="2:41" x14ac:dyDescent="0.2">
      <c r="B91" s="22" t="str">
        <f>'Wzorzec kategorii'!B53</f>
        <v>Wywóz śmieci</v>
      </c>
      <c r="C91" s="19">
        <v>0</v>
      </c>
      <c r="D91" s="20">
        <f>SUM(Tabela1841111[#This Row])</f>
        <v>0</v>
      </c>
      <c r="E91" s="20">
        <f t="shared" si="5"/>
        <v>0</v>
      </c>
      <c r="F91" s="21" t="str">
        <f t="shared" si="6"/>
        <v/>
      </c>
      <c r="G91" s="24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25"/>
      <c r="AO91" s="25"/>
    </row>
    <row r="92" spans="2:41" x14ac:dyDescent="0.2">
      <c r="B92" s="22" t="str">
        <f>'Wzorzec kategorii'!B54</f>
        <v>Konserwacja i naprawy</v>
      </c>
      <c r="C92" s="19">
        <v>0</v>
      </c>
      <c r="D92" s="20">
        <f>SUM(Tabela1841111[#This Row])</f>
        <v>0</v>
      </c>
      <c r="E92" s="20">
        <f t="shared" si="5"/>
        <v>0</v>
      </c>
      <c r="F92" s="21" t="str">
        <f t="shared" si="6"/>
        <v/>
      </c>
      <c r="G92" s="2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25"/>
      <c r="AO92" s="25"/>
    </row>
    <row r="93" spans="2:41" x14ac:dyDescent="0.2">
      <c r="B93" s="22" t="str">
        <f>'Wzorzec kategorii'!B55</f>
        <v>Wyposażenie</v>
      </c>
      <c r="C93" s="19">
        <v>0</v>
      </c>
      <c r="D93" s="20">
        <f>SUM(Tabela1841111[#This Row])</f>
        <v>0</v>
      </c>
      <c r="E93" s="20">
        <f t="shared" si="5"/>
        <v>0</v>
      </c>
      <c r="F93" s="21" t="str">
        <f t="shared" si="6"/>
        <v/>
      </c>
      <c r="G93" s="2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25"/>
      <c r="AO93" s="25"/>
    </row>
    <row r="94" spans="2:41" x14ac:dyDescent="0.2">
      <c r="B94" s="22" t="str">
        <f>'Wzorzec kategorii'!B56</f>
        <v>Ubezpieczenie nieruchomości</v>
      </c>
      <c r="C94" s="19">
        <v>0</v>
      </c>
      <c r="D94" s="20">
        <f>SUM(Tabela1841111[#This Row])</f>
        <v>0</v>
      </c>
      <c r="E94" s="20">
        <f t="shared" si="5"/>
        <v>0</v>
      </c>
      <c r="F94" s="21" t="str">
        <f t="shared" si="6"/>
        <v/>
      </c>
      <c r="G94" s="2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25"/>
      <c r="AO94" s="25"/>
    </row>
    <row r="95" spans="2:41" x14ac:dyDescent="0.2">
      <c r="B95" s="22" t="str">
        <f>'Wzorzec kategorii'!B57</f>
        <v>Inne</v>
      </c>
      <c r="C95" s="19">
        <v>0</v>
      </c>
      <c r="D95" s="20">
        <f>SUM(Tabela1841111[#This Row])</f>
        <v>0</v>
      </c>
      <c r="E95" s="20">
        <f t="shared" si="5"/>
        <v>0</v>
      </c>
      <c r="F95" s="21" t="str">
        <f t="shared" si="6"/>
        <v/>
      </c>
      <c r="G95" s="2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25"/>
      <c r="AO95" s="25"/>
    </row>
    <row r="96" spans="2:41" x14ac:dyDescent="0.2">
      <c r="B96" s="5" t="s">
        <v>30</v>
      </c>
      <c r="C96" s="6"/>
      <c r="D96" s="4"/>
      <c r="E96" s="4"/>
      <c r="F96" s="4"/>
      <c r="G96" s="4"/>
      <c r="I96" s="26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</row>
    <row r="97" spans="2:41" x14ac:dyDescent="0.2">
      <c r="B97" s="2" t="str">
        <f>'Wzorzec kategorii'!B59</f>
        <v>Transport</v>
      </c>
      <c r="C97" s="3">
        <f>SUM(Transport398[[#All],[Kolumna2]])</f>
        <v>0</v>
      </c>
      <c r="D97" s="16">
        <f>SUM(Transport398[[#All],[Kolumna3]])</f>
        <v>0</v>
      </c>
      <c r="E97" s="3">
        <f>C97-D97</f>
        <v>0</v>
      </c>
      <c r="F97" s="17" t="str">
        <f>IFERROR(D97/C97,"")</f>
        <v/>
      </c>
      <c r="G97" s="3"/>
      <c r="I97" s="11" t="s">
        <v>44</v>
      </c>
      <c r="J97" s="11" t="s">
        <v>45</v>
      </c>
      <c r="K97" s="11" t="s">
        <v>46</v>
      </c>
      <c r="L97" s="11" t="s">
        <v>47</v>
      </c>
      <c r="M97" s="11" t="s">
        <v>48</v>
      </c>
      <c r="N97" s="11" t="s">
        <v>49</v>
      </c>
      <c r="O97" s="11" t="s">
        <v>50</v>
      </c>
      <c r="P97" s="11" t="s">
        <v>51</v>
      </c>
      <c r="Q97" s="11" t="s">
        <v>52</v>
      </c>
      <c r="R97" s="11" t="s">
        <v>53</v>
      </c>
      <c r="S97" s="11" t="s">
        <v>54</v>
      </c>
      <c r="T97" s="11" t="s">
        <v>55</v>
      </c>
      <c r="U97" s="11" t="s">
        <v>56</v>
      </c>
      <c r="V97" s="11" t="s">
        <v>57</v>
      </c>
      <c r="W97" s="11" t="s">
        <v>58</v>
      </c>
      <c r="X97" s="11" t="s">
        <v>59</v>
      </c>
      <c r="Y97" s="11" t="s">
        <v>60</v>
      </c>
      <c r="Z97" s="11" t="s">
        <v>61</v>
      </c>
      <c r="AA97" s="11" t="s">
        <v>62</v>
      </c>
      <c r="AB97" s="11" t="s">
        <v>63</v>
      </c>
      <c r="AC97" s="11" t="s">
        <v>64</v>
      </c>
      <c r="AD97" s="11" t="s">
        <v>65</v>
      </c>
      <c r="AE97" s="11" t="s">
        <v>66</v>
      </c>
      <c r="AF97" s="11" t="s">
        <v>67</v>
      </c>
      <c r="AG97" s="11" t="s">
        <v>68</v>
      </c>
      <c r="AH97" s="11" t="s">
        <v>69</v>
      </c>
      <c r="AI97" s="11" t="s">
        <v>70</v>
      </c>
      <c r="AJ97" s="11" t="s">
        <v>71</v>
      </c>
      <c r="AK97" s="11" t="s">
        <v>72</v>
      </c>
      <c r="AL97" s="11" t="s">
        <v>73</v>
      </c>
      <c r="AM97" s="11" t="s">
        <v>74</v>
      </c>
      <c r="AN97" s="25"/>
      <c r="AO97" s="25"/>
    </row>
    <row r="98" spans="2:41" x14ac:dyDescent="0.2">
      <c r="B98" s="22" t="str">
        <f>'Wzorzec kategorii'!B60</f>
        <v>Paliwo do auta</v>
      </c>
      <c r="C98" s="19">
        <v>0</v>
      </c>
      <c r="D98" s="20">
        <f>SUM(Tabela1942112[#This Row])</f>
        <v>0</v>
      </c>
      <c r="E98" s="20">
        <f t="shared" ref="E98:E107" si="7">C98-D98</f>
        <v>0</v>
      </c>
      <c r="F98" s="21" t="str">
        <f t="shared" ref="F98:F107" si="8">IFERROR(D98/C98,"")</f>
        <v/>
      </c>
      <c r="G98" s="24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25"/>
      <c r="AO98" s="25"/>
    </row>
    <row r="99" spans="2:41" x14ac:dyDescent="0.2">
      <c r="B99" s="22" t="str">
        <f>'Wzorzec kategorii'!B61</f>
        <v>Przeglądy i naprawy auta</v>
      </c>
      <c r="C99" s="19">
        <v>0</v>
      </c>
      <c r="D99" s="20">
        <f>SUM(Tabela1942112[#This Row])</f>
        <v>0</v>
      </c>
      <c r="E99" s="20">
        <f t="shared" si="7"/>
        <v>0</v>
      </c>
      <c r="F99" s="21" t="str">
        <f t="shared" si="8"/>
        <v/>
      </c>
      <c r="G99" s="2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25"/>
      <c r="AO99" s="25"/>
    </row>
    <row r="100" spans="2:41" ht="30" x14ac:dyDescent="0.2">
      <c r="B100" s="22" t="str">
        <f>'Wzorzec kategorii'!B62</f>
        <v>Wyposażenie dodatkowe (opony)</v>
      </c>
      <c r="C100" s="19">
        <v>0</v>
      </c>
      <c r="D100" s="20">
        <f>SUM(Tabela1942112[#This Row])</f>
        <v>0</v>
      </c>
      <c r="E100" s="20">
        <f t="shared" si="7"/>
        <v>0</v>
      </c>
      <c r="F100" s="21" t="str">
        <f t="shared" si="8"/>
        <v/>
      </c>
      <c r="G100" s="2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25"/>
      <c r="AO100" s="25"/>
    </row>
    <row r="101" spans="2:41" x14ac:dyDescent="0.2">
      <c r="B101" s="22" t="str">
        <f>'Wzorzec kategorii'!B63</f>
        <v>Ubezpieczenie auta</v>
      </c>
      <c r="C101" s="19">
        <v>0</v>
      </c>
      <c r="D101" s="20">
        <f>SUM(Tabela1942112[#This Row])</f>
        <v>0</v>
      </c>
      <c r="E101" s="20">
        <f t="shared" si="7"/>
        <v>0</v>
      </c>
      <c r="F101" s="21" t="str">
        <f t="shared" si="8"/>
        <v/>
      </c>
      <c r="G101" s="2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25"/>
      <c r="AO101" s="25"/>
    </row>
    <row r="102" spans="2:41" x14ac:dyDescent="0.2">
      <c r="B102" s="22" t="str">
        <f>'Wzorzec kategorii'!B64</f>
        <v>Bilet komunikacji miejskiej</v>
      </c>
      <c r="C102" s="19">
        <v>0</v>
      </c>
      <c r="D102" s="20">
        <f>SUM(Tabela1942112[#This Row])</f>
        <v>0</v>
      </c>
      <c r="E102" s="20">
        <f t="shared" si="7"/>
        <v>0</v>
      </c>
      <c r="F102" s="21" t="str">
        <f t="shared" si="8"/>
        <v/>
      </c>
      <c r="G102" s="2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25"/>
      <c r="AO102" s="25"/>
    </row>
    <row r="103" spans="2:41" x14ac:dyDescent="0.2">
      <c r="B103" s="22" t="str">
        <f>'Wzorzec kategorii'!B65</f>
        <v>Bilet PKP, PKS</v>
      </c>
      <c r="C103" s="19">
        <v>0</v>
      </c>
      <c r="D103" s="20">
        <f>SUM(Tabela1942112[#This Row])</f>
        <v>0</v>
      </c>
      <c r="E103" s="20">
        <f t="shared" si="7"/>
        <v>0</v>
      </c>
      <c r="F103" s="21" t="str">
        <f t="shared" si="8"/>
        <v/>
      </c>
      <c r="G103" s="24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25"/>
      <c r="AO103" s="25"/>
    </row>
    <row r="104" spans="2:41" x14ac:dyDescent="0.2">
      <c r="B104" s="22" t="str">
        <f>'Wzorzec kategorii'!B66</f>
        <v>Taxi</v>
      </c>
      <c r="C104" s="19">
        <v>0</v>
      </c>
      <c r="D104" s="20">
        <f>SUM(Tabela1942112[#This Row])</f>
        <v>0</v>
      </c>
      <c r="E104" s="20">
        <f t="shared" si="7"/>
        <v>0</v>
      </c>
      <c r="F104" s="21" t="str">
        <f t="shared" si="8"/>
        <v/>
      </c>
      <c r="G104" s="24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25"/>
      <c r="AO104" s="25"/>
    </row>
    <row r="105" spans="2:41" x14ac:dyDescent="0.2">
      <c r="B105" s="22" t="str">
        <f>'Wzorzec kategorii'!B67</f>
        <v>Inne</v>
      </c>
      <c r="C105" s="19">
        <v>0</v>
      </c>
      <c r="D105" s="20">
        <f>SUM(Tabela1942112[#This Row])</f>
        <v>0</v>
      </c>
      <c r="E105" s="20">
        <f t="shared" si="7"/>
        <v>0</v>
      </c>
      <c r="F105" s="21" t="str">
        <f t="shared" si="8"/>
        <v/>
      </c>
      <c r="G105" s="2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25"/>
      <c r="AO105" s="25"/>
    </row>
    <row r="106" spans="2:41" x14ac:dyDescent="0.2">
      <c r="B106" s="22" t="str">
        <f>'Wzorzec kategorii'!B68</f>
        <v>.</v>
      </c>
      <c r="C106" s="19">
        <v>0</v>
      </c>
      <c r="D106" s="20">
        <f>SUM(Tabela1942112[#This Row])</f>
        <v>0</v>
      </c>
      <c r="E106" s="20">
        <f t="shared" si="7"/>
        <v>0</v>
      </c>
      <c r="F106" s="53" t="str">
        <f t="shared" si="8"/>
        <v/>
      </c>
      <c r="G106" s="54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25"/>
      <c r="AO106" s="25"/>
    </row>
    <row r="107" spans="2:41" x14ac:dyDescent="0.2">
      <c r="B107" s="22" t="str">
        <f>'Wzorzec kategorii'!B69</f>
        <v>.</v>
      </c>
      <c r="C107" s="19">
        <v>0</v>
      </c>
      <c r="D107" s="20">
        <f>SUM(Tabela1942112[#This Row])</f>
        <v>0</v>
      </c>
      <c r="E107" s="20">
        <f t="shared" si="7"/>
        <v>0</v>
      </c>
      <c r="F107" s="53" t="str">
        <f t="shared" si="8"/>
        <v/>
      </c>
      <c r="G107" s="54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25"/>
      <c r="AO107" s="25"/>
    </row>
    <row r="108" spans="2:41" x14ac:dyDescent="0.2">
      <c r="B108" s="5" t="s">
        <v>30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</row>
    <row r="109" spans="2:41" x14ac:dyDescent="0.2">
      <c r="B109" s="2" t="str">
        <f>'Wzorzec kategorii'!B71</f>
        <v>Telekomunikacja</v>
      </c>
      <c r="C109" s="3">
        <f>SUM(Tabela832102[[#All],[Kolumna2]])</f>
        <v>0</v>
      </c>
      <c r="D109" s="16">
        <f>SUM(Tabela832102[[#All],[Kolumna3]])</f>
        <v>0</v>
      </c>
      <c r="E109" s="3">
        <f>C109-D109</f>
        <v>0</v>
      </c>
      <c r="F109" s="17" t="str">
        <f t="shared" ref="F109:F119" si="9">IFERROR(D109/C109,"")</f>
        <v/>
      </c>
      <c r="G109" s="3"/>
      <c r="I109" s="11" t="s">
        <v>44</v>
      </c>
      <c r="J109" s="11" t="s">
        <v>45</v>
      </c>
      <c r="K109" s="11" t="s">
        <v>46</v>
      </c>
      <c r="L109" s="11" t="s">
        <v>47</v>
      </c>
      <c r="M109" s="11" t="s">
        <v>48</v>
      </c>
      <c r="N109" s="11" t="s">
        <v>49</v>
      </c>
      <c r="O109" s="11" t="s">
        <v>50</v>
      </c>
      <c r="P109" s="11" t="s">
        <v>51</v>
      </c>
      <c r="Q109" s="11" t="s">
        <v>52</v>
      </c>
      <c r="R109" s="11" t="s">
        <v>53</v>
      </c>
      <c r="S109" s="11" t="s">
        <v>54</v>
      </c>
      <c r="T109" s="11" t="s">
        <v>55</v>
      </c>
      <c r="U109" s="11" t="s">
        <v>56</v>
      </c>
      <c r="V109" s="11" t="s">
        <v>57</v>
      </c>
      <c r="W109" s="11" t="s">
        <v>58</v>
      </c>
      <c r="X109" s="11" t="s">
        <v>59</v>
      </c>
      <c r="Y109" s="11" t="s">
        <v>60</v>
      </c>
      <c r="Z109" s="11" t="s">
        <v>61</v>
      </c>
      <c r="AA109" s="11" t="s">
        <v>62</v>
      </c>
      <c r="AB109" s="11" t="s">
        <v>63</v>
      </c>
      <c r="AC109" s="11" t="s">
        <v>64</v>
      </c>
      <c r="AD109" s="11" t="s">
        <v>65</v>
      </c>
      <c r="AE109" s="11" t="s">
        <v>66</v>
      </c>
      <c r="AF109" s="11" t="s">
        <v>67</v>
      </c>
      <c r="AG109" s="11" t="s">
        <v>68</v>
      </c>
      <c r="AH109" s="11" t="s">
        <v>69</v>
      </c>
      <c r="AI109" s="11" t="s">
        <v>70</v>
      </c>
      <c r="AJ109" s="11" t="s">
        <v>71</v>
      </c>
      <c r="AK109" s="11" t="s">
        <v>72</v>
      </c>
      <c r="AL109" s="11" t="s">
        <v>73</v>
      </c>
      <c r="AM109" s="11" t="s">
        <v>74</v>
      </c>
      <c r="AN109" s="25"/>
      <c r="AO109" s="25"/>
    </row>
    <row r="110" spans="2:41" x14ac:dyDescent="0.2">
      <c r="B110" s="22" t="str">
        <f>'Wzorzec kategorii'!B72</f>
        <v>Telefon 1</v>
      </c>
      <c r="C110" s="19">
        <v>0</v>
      </c>
      <c r="D110" s="20">
        <f>SUM(Tabela192143113[#This Row])</f>
        <v>0</v>
      </c>
      <c r="E110" s="20">
        <f t="shared" ref="E110:E119" si="10">C110-D110</f>
        <v>0</v>
      </c>
      <c r="F110" s="21" t="str">
        <f t="shared" si="9"/>
        <v/>
      </c>
      <c r="G110" s="24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25"/>
      <c r="AO110" s="25"/>
    </row>
    <row r="111" spans="2:41" x14ac:dyDescent="0.2">
      <c r="B111" s="22" t="str">
        <f>'Wzorzec kategorii'!B73</f>
        <v>Telefon 2</v>
      </c>
      <c r="C111" s="19">
        <v>0</v>
      </c>
      <c r="D111" s="20">
        <f>SUM(Tabela192143113[#This Row])</f>
        <v>0</v>
      </c>
      <c r="E111" s="20">
        <f t="shared" si="10"/>
        <v>0</v>
      </c>
      <c r="F111" s="21" t="str">
        <f t="shared" si="9"/>
        <v/>
      </c>
      <c r="G111" s="24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25"/>
      <c r="AO111" s="25"/>
    </row>
    <row r="112" spans="2:41" x14ac:dyDescent="0.2">
      <c r="B112" s="22" t="str">
        <f>'Wzorzec kategorii'!B74</f>
        <v>TV</v>
      </c>
      <c r="C112" s="19">
        <v>0</v>
      </c>
      <c r="D112" s="20">
        <f>SUM(Tabela192143113[#This Row])</f>
        <v>0</v>
      </c>
      <c r="E112" s="20">
        <f t="shared" si="10"/>
        <v>0</v>
      </c>
      <c r="F112" s="21" t="str">
        <f t="shared" si="9"/>
        <v/>
      </c>
      <c r="G112" s="2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5"/>
      <c r="AO112" s="25"/>
    </row>
    <row r="113" spans="2:41" x14ac:dyDescent="0.2">
      <c r="B113" s="22" t="str">
        <f>'Wzorzec kategorii'!B75</f>
        <v>Internet</v>
      </c>
      <c r="C113" s="19">
        <v>0</v>
      </c>
      <c r="D113" s="20">
        <f>SUM(Tabela192143113[#This Row])</f>
        <v>0</v>
      </c>
      <c r="E113" s="20">
        <f t="shared" si="10"/>
        <v>0</v>
      </c>
      <c r="F113" s="21" t="str">
        <f t="shared" si="9"/>
        <v/>
      </c>
      <c r="G113" s="2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25"/>
      <c r="AO113" s="25"/>
    </row>
    <row r="114" spans="2:41" x14ac:dyDescent="0.2">
      <c r="B114" s="22" t="str">
        <f>'Wzorzec kategorii'!B76</f>
        <v>Inne</v>
      </c>
      <c r="C114" s="19">
        <v>0</v>
      </c>
      <c r="D114" s="20">
        <f>SUM(Tabela192143113[#This Row])</f>
        <v>0</v>
      </c>
      <c r="E114" s="20">
        <f t="shared" si="10"/>
        <v>0</v>
      </c>
      <c r="F114" s="21" t="str">
        <f t="shared" si="9"/>
        <v/>
      </c>
      <c r="G114" s="2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25"/>
      <c r="AO114" s="25"/>
    </row>
    <row r="115" spans="2:41" x14ac:dyDescent="0.2">
      <c r="B115" s="22" t="str">
        <f>'Wzorzec kategorii'!B77</f>
        <v>.</v>
      </c>
      <c r="C115" s="19">
        <v>0</v>
      </c>
      <c r="D115" s="20">
        <f>SUM(Tabela192143113[#This Row])</f>
        <v>0</v>
      </c>
      <c r="E115" s="20">
        <f t="shared" si="10"/>
        <v>0</v>
      </c>
      <c r="F115" s="53" t="str">
        <f t="shared" si="9"/>
        <v/>
      </c>
      <c r="G115" s="54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25"/>
      <c r="AO115" s="25"/>
    </row>
    <row r="116" spans="2:41" x14ac:dyDescent="0.2">
      <c r="B116" s="22" t="str">
        <f>'Wzorzec kategorii'!B78</f>
        <v>.</v>
      </c>
      <c r="C116" s="19">
        <v>0</v>
      </c>
      <c r="D116" s="20">
        <f>SUM(Tabela192143113[#This Row])</f>
        <v>0</v>
      </c>
      <c r="E116" s="20">
        <f t="shared" si="10"/>
        <v>0</v>
      </c>
      <c r="F116" s="53" t="str">
        <f t="shared" si="9"/>
        <v/>
      </c>
      <c r="G116" s="54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25"/>
      <c r="AO116" s="25"/>
    </row>
    <row r="117" spans="2:41" x14ac:dyDescent="0.2">
      <c r="B117" s="22" t="str">
        <f>'Wzorzec kategorii'!B79</f>
        <v>.</v>
      </c>
      <c r="C117" s="19">
        <v>0</v>
      </c>
      <c r="D117" s="20">
        <f>SUM(Tabela192143113[#This Row])</f>
        <v>0</v>
      </c>
      <c r="E117" s="20">
        <f t="shared" si="10"/>
        <v>0</v>
      </c>
      <c r="F117" s="53" t="str">
        <f t="shared" si="9"/>
        <v/>
      </c>
      <c r="G117" s="54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25"/>
      <c r="AO117" s="25"/>
    </row>
    <row r="118" spans="2:41" x14ac:dyDescent="0.2">
      <c r="B118" s="22" t="str">
        <f>'Wzorzec kategorii'!B80</f>
        <v>.</v>
      </c>
      <c r="C118" s="19">
        <v>0</v>
      </c>
      <c r="D118" s="20">
        <f>SUM(Tabela192143113[#This Row])</f>
        <v>0</v>
      </c>
      <c r="E118" s="20">
        <f t="shared" si="10"/>
        <v>0</v>
      </c>
      <c r="F118" s="53" t="str">
        <f t="shared" si="9"/>
        <v/>
      </c>
      <c r="G118" s="54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25"/>
      <c r="AO118" s="25"/>
    </row>
    <row r="119" spans="2:41" x14ac:dyDescent="0.2">
      <c r="B119" s="22" t="str">
        <f>'Wzorzec kategorii'!B81</f>
        <v>.</v>
      </c>
      <c r="C119" s="19">
        <v>0</v>
      </c>
      <c r="D119" s="20">
        <f>SUM(Tabela192143113[#This Row])</f>
        <v>0</v>
      </c>
      <c r="E119" s="20">
        <f t="shared" si="10"/>
        <v>0</v>
      </c>
      <c r="F119" s="53" t="str">
        <f t="shared" si="9"/>
        <v/>
      </c>
      <c r="G119" s="54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25"/>
      <c r="AO119" s="25"/>
    </row>
    <row r="120" spans="2:41" x14ac:dyDescent="0.2"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</row>
    <row r="121" spans="2:41" x14ac:dyDescent="0.2">
      <c r="B121" s="2" t="str">
        <f>'Wzorzec kategorii'!B83</f>
        <v>Opieka zdrowotna</v>
      </c>
      <c r="C121" s="3">
        <f>SUM(Tabela933103[[#All],[Kolumna2]])</f>
        <v>0</v>
      </c>
      <c r="D121" s="16">
        <f>SUM(Tabela933103[[#All],[Kolumna3]])</f>
        <v>0</v>
      </c>
      <c r="E121" s="3">
        <f>C121-D121</f>
        <v>0</v>
      </c>
      <c r="F121" s="17" t="str">
        <f>IFERROR(D121/C121,"")</f>
        <v/>
      </c>
      <c r="G121" s="3"/>
      <c r="I121" s="11" t="s">
        <v>44</v>
      </c>
      <c r="J121" s="11" t="s">
        <v>45</v>
      </c>
      <c r="K121" s="11" t="s">
        <v>46</v>
      </c>
      <c r="L121" s="11" t="s">
        <v>47</v>
      </c>
      <c r="M121" s="11" t="s">
        <v>48</v>
      </c>
      <c r="N121" s="11" t="s">
        <v>49</v>
      </c>
      <c r="O121" s="11" t="s">
        <v>50</v>
      </c>
      <c r="P121" s="11" t="s">
        <v>51</v>
      </c>
      <c r="Q121" s="11" t="s">
        <v>52</v>
      </c>
      <c r="R121" s="11" t="s">
        <v>53</v>
      </c>
      <c r="S121" s="11" t="s">
        <v>54</v>
      </c>
      <c r="T121" s="11" t="s">
        <v>55</v>
      </c>
      <c r="U121" s="11" t="s">
        <v>56</v>
      </c>
      <c r="V121" s="11" t="s">
        <v>57</v>
      </c>
      <c r="W121" s="11" t="s">
        <v>58</v>
      </c>
      <c r="X121" s="11" t="s">
        <v>59</v>
      </c>
      <c r="Y121" s="11" t="s">
        <v>60</v>
      </c>
      <c r="Z121" s="11" t="s">
        <v>61</v>
      </c>
      <c r="AA121" s="11" t="s">
        <v>62</v>
      </c>
      <c r="AB121" s="11" t="s">
        <v>63</v>
      </c>
      <c r="AC121" s="11" t="s">
        <v>64</v>
      </c>
      <c r="AD121" s="11" t="s">
        <v>65</v>
      </c>
      <c r="AE121" s="11" t="s">
        <v>66</v>
      </c>
      <c r="AF121" s="11" t="s">
        <v>67</v>
      </c>
      <c r="AG121" s="11" t="s">
        <v>68</v>
      </c>
      <c r="AH121" s="11" t="s">
        <v>69</v>
      </c>
      <c r="AI121" s="11" t="s">
        <v>70</v>
      </c>
      <c r="AJ121" s="11" t="s">
        <v>71</v>
      </c>
      <c r="AK121" s="11" t="s">
        <v>72</v>
      </c>
      <c r="AL121" s="11" t="s">
        <v>73</v>
      </c>
      <c r="AM121" s="11" t="s">
        <v>74</v>
      </c>
      <c r="AN121" s="25"/>
      <c r="AO121" s="25"/>
    </row>
    <row r="122" spans="2:41" x14ac:dyDescent="0.2">
      <c r="B122" s="22" t="str">
        <f>'Wzorzec kategorii'!B84</f>
        <v>Lekarz</v>
      </c>
      <c r="C122" s="19">
        <v>0</v>
      </c>
      <c r="D122" s="20">
        <f>SUM(Tabela19212547117[#This Row])</f>
        <v>0</v>
      </c>
      <c r="E122" s="20">
        <f t="shared" ref="E122:E131" si="11">C122-D122</f>
        <v>0</v>
      </c>
      <c r="F122" s="21" t="str">
        <f>IFERROR(D122/C122,"")</f>
        <v/>
      </c>
      <c r="G122" s="2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25"/>
      <c r="AO122" s="25"/>
    </row>
    <row r="123" spans="2:41" x14ac:dyDescent="0.2">
      <c r="B123" s="22" t="str">
        <f>'Wzorzec kategorii'!B85</f>
        <v>Badania</v>
      </c>
      <c r="C123" s="19">
        <v>0</v>
      </c>
      <c r="D123" s="20">
        <f>SUM(Tabela19212547117[#This Row])</f>
        <v>0</v>
      </c>
      <c r="E123" s="20">
        <f t="shared" si="11"/>
        <v>0</v>
      </c>
      <c r="F123" s="21" t="str">
        <f>IFERROR(D123/C123,"")</f>
        <v/>
      </c>
      <c r="G123" s="2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25"/>
      <c r="AO123" s="25"/>
    </row>
    <row r="124" spans="2:41" x14ac:dyDescent="0.2">
      <c r="B124" s="22" t="str">
        <f>'Wzorzec kategorii'!B86</f>
        <v>Lekarstwa</v>
      </c>
      <c r="C124" s="19">
        <v>0</v>
      </c>
      <c r="D124" s="20">
        <f>SUM(Tabela19212547117[#This Row])</f>
        <v>0</v>
      </c>
      <c r="E124" s="20">
        <f t="shared" si="11"/>
        <v>0</v>
      </c>
      <c r="F124" s="21" t="str">
        <f>IFERROR(D124/C124,"")</f>
        <v/>
      </c>
      <c r="G124" s="2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25"/>
      <c r="AO124" s="25"/>
    </row>
    <row r="125" spans="2:41" x14ac:dyDescent="0.2">
      <c r="B125" s="22" t="str">
        <f>'Wzorzec kategorii'!B87</f>
        <v>Inne</v>
      </c>
      <c r="C125" s="19">
        <v>0</v>
      </c>
      <c r="D125" s="20">
        <f>SUM(Tabela19212547117[#This Row])</f>
        <v>0</v>
      </c>
      <c r="E125" s="20">
        <f t="shared" si="11"/>
        <v>0</v>
      </c>
      <c r="F125" s="21" t="str">
        <f>IFERROR(D125/C125,"")</f>
        <v/>
      </c>
      <c r="G125" s="24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25"/>
      <c r="AO125" s="25"/>
    </row>
    <row r="126" spans="2:41" x14ac:dyDescent="0.2">
      <c r="B126" s="50" t="str">
        <f>'Wzorzec kategorii'!B88</f>
        <v>.</v>
      </c>
      <c r="C126" s="19">
        <v>0</v>
      </c>
      <c r="D126" s="20">
        <f>SUM(Tabela19212547117[#This Row])</f>
        <v>0</v>
      </c>
      <c r="E126" s="20">
        <f t="shared" si="11"/>
        <v>0</v>
      </c>
      <c r="F126" s="53" t="str">
        <f t="shared" ref="F126:F131" si="12">IFERROR(D126/C126,"")</f>
        <v/>
      </c>
      <c r="G126" s="54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25"/>
      <c r="AO126" s="25"/>
    </row>
    <row r="127" spans="2:41" x14ac:dyDescent="0.2">
      <c r="B127" s="50" t="str">
        <f>'Wzorzec kategorii'!B89</f>
        <v>.</v>
      </c>
      <c r="C127" s="19">
        <v>0</v>
      </c>
      <c r="D127" s="20">
        <f>SUM(Tabela19212547117[#This Row])</f>
        <v>0</v>
      </c>
      <c r="E127" s="20">
        <f t="shared" si="11"/>
        <v>0</v>
      </c>
      <c r="F127" s="53" t="str">
        <f t="shared" si="12"/>
        <v/>
      </c>
      <c r="G127" s="54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25"/>
      <c r="AO127" s="25"/>
    </row>
    <row r="128" spans="2:41" x14ac:dyDescent="0.2">
      <c r="B128" s="50" t="str">
        <f>'Wzorzec kategorii'!B90</f>
        <v>.</v>
      </c>
      <c r="C128" s="19">
        <v>0</v>
      </c>
      <c r="D128" s="20">
        <f>SUM(Tabela19212547117[#This Row])</f>
        <v>0</v>
      </c>
      <c r="E128" s="20">
        <f t="shared" si="11"/>
        <v>0</v>
      </c>
      <c r="F128" s="53" t="str">
        <f t="shared" si="12"/>
        <v/>
      </c>
      <c r="G128" s="54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25"/>
      <c r="AO128" s="25"/>
    </row>
    <row r="129" spans="2:41" x14ac:dyDescent="0.2">
      <c r="B129" s="50" t="str">
        <f>'Wzorzec kategorii'!B91</f>
        <v>.</v>
      </c>
      <c r="C129" s="19">
        <v>0</v>
      </c>
      <c r="D129" s="20">
        <f>SUM(Tabela19212547117[#This Row])</f>
        <v>0</v>
      </c>
      <c r="E129" s="20">
        <f t="shared" si="11"/>
        <v>0</v>
      </c>
      <c r="F129" s="53" t="str">
        <f t="shared" si="12"/>
        <v/>
      </c>
      <c r="G129" s="54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25"/>
      <c r="AO129" s="25"/>
    </row>
    <row r="130" spans="2:41" x14ac:dyDescent="0.2">
      <c r="B130" s="50" t="str">
        <f>'Wzorzec kategorii'!B92</f>
        <v>.</v>
      </c>
      <c r="C130" s="19">
        <v>0</v>
      </c>
      <c r="D130" s="20">
        <f>SUM(Tabela19212547117[#This Row])</f>
        <v>0</v>
      </c>
      <c r="E130" s="20">
        <f t="shared" si="11"/>
        <v>0</v>
      </c>
      <c r="F130" s="53" t="str">
        <f t="shared" si="12"/>
        <v/>
      </c>
      <c r="G130" s="54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25"/>
      <c r="AO130" s="25"/>
    </row>
    <row r="131" spans="2:41" x14ac:dyDescent="0.2">
      <c r="B131" s="50" t="str">
        <f>'Wzorzec kategorii'!B93</f>
        <v>.</v>
      </c>
      <c r="C131" s="19">
        <v>0</v>
      </c>
      <c r="D131" s="20">
        <f>SUM(Tabela19212547117[#This Row])</f>
        <v>0</v>
      </c>
      <c r="E131" s="20">
        <f t="shared" si="11"/>
        <v>0</v>
      </c>
      <c r="F131" s="53" t="str">
        <f t="shared" si="12"/>
        <v/>
      </c>
      <c r="G131" s="54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25"/>
      <c r="AO131" s="25"/>
    </row>
    <row r="132" spans="2:41" x14ac:dyDescent="0.2">
      <c r="B132" s="13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</row>
    <row r="133" spans="2:41" x14ac:dyDescent="0.2">
      <c r="B133" s="2" t="str">
        <f>'Wzorzec kategorii'!B95</f>
        <v>Ubranie</v>
      </c>
      <c r="C133" s="3">
        <f>SUM(Tabela1034104[[#All],[Kolumna2]])</f>
        <v>0</v>
      </c>
      <c r="D133" s="16">
        <f>SUM(Tabela1034104[[#All],[Kolumna3]])</f>
        <v>0</v>
      </c>
      <c r="E133" s="3">
        <f>C133-D133</f>
        <v>0</v>
      </c>
      <c r="F133" s="17" t="str">
        <f t="shared" ref="F133:F143" si="13">IFERROR(D133/C133,"")</f>
        <v/>
      </c>
      <c r="G133" s="3"/>
      <c r="I133" s="11" t="s">
        <v>44</v>
      </c>
      <c r="J133" s="11" t="s">
        <v>45</v>
      </c>
      <c r="K133" s="11" t="s">
        <v>46</v>
      </c>
      <c r="L133" s="11" t="s">
        <v>47</v>
      </c>
      <c r="M133" s="11" t="s">
        <v>48</v>
      </c>
      <c r="N133" s="11" t="s">
        <v>49</v>
      </c>
      <c r="O133" s="11" t="s">
        <v>50</v>
      </c>
      <c r="P133" s="11" t="s">
        <v>51</v>
      </c>
      <c r="Q133" s="11" t="s">
        <v>52</v>
      </c>
      <c r="R133" s="11" t="s">
        <v>53</v>
      </c>
      <c r="S133" s="11" t="s">
        <v>54</v>
      </c>
      <c r="T133" s="11" t="s">
        <v>55</v>
      </c>
      <c r="U133" s="11" t="s">
        <v>56</v>
      </c>
      <c r="V133" s="11" t="s">
        <v>57</v>
      </c>
      <c r="W133" s="11" t="s">
        <v>58</v>
      </c>
      <c r="X133" s="11" t="s">
        <v>59</v>
      </c>
      <c r="Y133" s="11" t="s">
        <v>60</v>
      </c>
      <c r="Z133" s="11" t="s">
        <v>61</v>
      </c>
      <c r="AA133" s="11" t="s">
        <v>62</v>
      </c>
      <c r="AB133" s="11" t="s">
        <v>63</v>
      </c>
      <c r="AC133" s="11" t="s">
        <v>64</v>
      </c>
      <c r="AD133" s="11" t="s">
        <v>65</v>
      </c>
      <c r="AE133" s="11" t="s">
        <v>66</v>
      </c>
      <c r="AF133" s="11" t="s">
        <v>67</v>
      </c>
      <c r="AG133" s="11" t="s">
        <v>68</v>
      </c>
      <c r="AH133" s="11" t="s">
        <v>69</v>
      </c>
      <c r="AI133" s="11" t="s">
        <v>70</v>
      </c>
      <c r="AJ133" s="11" t="s">
        <v>71</v>
      </c>
      <c r="AK133" s="11" t="s">
        <v>72</v>
      </c>
      <c r="AL133" s="11" t="s">
        <v>73</v>
      </c>
      <c r="AM133" s="11" t="s">
        <v>74</v>
      </c>
      <c r="AN133" s="25"/>
      <c r="AO133" s="25"/>
    </row>
    <row r="134" spans="2:41" x14ac:dyDescent="0.2">
      <c r="B134" s="22" t="str">
        <f>'Wzorzec kategorii'!B96</f>
        <v>Ubranie zwykłe</v>
      </c>
      <c r="C134" s="19">
        <v>0</v>
      </c>
      <c r="D134" s="20">
        <f>SUM(Tabela19212446116[#This Row])</f>
        <v>0</v>
      </c>
      <c r="E134" s="20">
        <f t="shared" ref="E134:E143" si="14">C134-D134</f>
        <v>0</v>
      </c>
      <c r="F134" s="21" t="str">
        <f t="shared" si="13"/>
        <v/>
      </c>
      <c r="G134" s="2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25"/>
      <c r="AO134" s="25"/>
    </row>
    <row r="135" spans="2:41" x14ac:dyDescent="0.2">
      <c r="B135" s="22" t="str">
        <f>'Wzorzec kategorii'!B97</f>
        <v>Ubranie sportowe</v>
      </c>
      <c r="C135" s="19">
        <v>0</v>
      </c>
      <c r="D135" s="20">
        <f>SUM(Tabela19212446116[#This Row])</f>
        <v>0</v>
      </c>
      <c r="E135" s="20">
        <f t="shared" si="14"/>
        <v>0</v>
      </c>
      <c r="F135" s="21" t="str">
        <f t="shared" si="13"/>
        <v/>
      </c>
      <c r="G135" s="24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25"/>
      <c r="AO135" s="25"/>
    </row>
    <row r="136" spans="2:41" x14ac:dyDescent="0.2">
      <c r="B136" s="22" t="str">
        <f>'Wzorzec kategorii'!B98</f>
        <v>Buty</v>
      </c>
      <c r="C136" s="19">
        <v>0</v>
      </c>
      <c r="D136" s="20">
        <f>SUM(Tabela19212446116[#This Row])</f>
        <v>0</v>
      </c>
      <c r="E136" s="20">
        <f t="shared" si="14"/>
        <v>0</v>
      </c>
      <c r="F136" s="21" t="str">
        <f t="shared" si="13"/>
        <v/>
      </c>
      <c r="G136" s="24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25"/>
      <c r="AO136" s="25"/>
    </row>
    <row r="137" spans="2:41" x14ac:dyDescent="0.2">
      <c r="B137" s="22" t="str">
        <f>'Wzorzec kategorii'!B99</f>
        <v>Dodatki</v>
      </c>
      <c r="C137" s="19">
        <v>0</v>
      </c>
      <c r="D137" s="20">
        <f>SUM(Tabela19212446116[#This Row])</f>
        <v>0</v>
      </c>
      <c r="E137" s="20">
        <f t="shared" si="14"/>
        <v>0</v>
      </c>
      <c r="F137" s="21" t="str">
        <f t="shared" si="13"/>
        <v/>
      </c>
      <c r="G137" s="2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25"/>
      <c r="AO137" s="25"/>
    </row>
    <row r="138" spans="2:41" x14ac:dyDescent="0.2">
      <c r="B138" s="22" t="str">
        <f>'Wzorzec kategorii'!B100</f>
        <v>Inne</v>
      </c>
      <c r="C138" s="19">
        <v>0</v>
      </c>
      <c r="D138" s="20">
        <f>SUM(Tabela19212446116[#This Row])</f>
        <v>0</v>
      </c>
      <c r="E138" s="20">
        <f t="shared" si="14"/>
        <v>0</v>
      </c>
      <c r="F138" s="21" t="str">
        <f t="shared" si="13"/>
        <v/>
      </c>
      <c r="G138" s="2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25"/>
      <c r="AO138" s="25"/>
    </row>
    <row r="139" spans="2:41" x14ac:dyDescent="0.2">
      <c r="B139" s="50" t="str">
        <f>'Wzorzec kategorii'!B101</f>
        <v>.</v>
      </c>
      <c r="C139" s="19">
        <v>0</v>
      </c>
      <c r="D139" s="20">
        <f>SUM(Tabela19212446116[#This Row])</f>
        <v>0</v>
      </c>
      <c r="E139" s="20">
        <f t="shared" si="14"/>
        <v>0</v>
      </c>
      <c r="F139" s="53" t="str">
        <f t="shared" si="13"/>
        <v/>
      </c>
      <c r="G139" s="54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25"/>
      <c r="AO139" s="25"/>
    </row>
    <row r="140" spans="2:41" x14ac:dyDescent="0.2">
      <c r="B140" s="50" t="str">
        <f>'Wzorzec kategorii'!B102</f>
        <v>.</v>
      </c>
      <c r="C140" s="19">
        <v>0</v>
      </c>
      <c r="D140" s="20">
        <f>SUM(Tabela19212446116[#This Row])</f>
        <v>0</v>
      </c>
      <c r="E140" s="20">
        <f t="shared" si="14"/>
        <v>0</v>
      </c>
      <c r="F140" s="53" t="str">
        <f t="shared" si="13"/>
        <v/>
      </c>
      <c r="G140" s="54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25"/>
      <c r="AO140" s="25"/>
    </row>
    <row r="141" spans="2:41" x14ac:dyDescent="0.2">
      <c r="B141" s="50" t="str">
        <f>'Wzorzec kategorii'!B103</f>
        <v>.</v>
      </c>
      <c r="C141" s="19">
        <v>0</v>
      </c>
      <c r="D141" s="20">
        <f>SUM(Tabela19212446116[#This Row])</f>
        <v>0</v>
      </c>
      <c r="E141" s="20">
        <f t="shared" si="14"/>
        <v>0</v>
      </c>
      <c r="F141" s="53" t="str">
        <f t="shared" si="13"/>
        <v/>
      </c>
      <c r="G141" s="54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25"/>
      <c r="AO141" s="25"/>
    </row>
    <row r="142" spans="2:41" x14ac:dyDescent="0.2">
      <c r="B142" s="50" t="str">
        <f>'Wzorzec kategorii'!B104</f>
        <v>.</v>
      </c>
      <c r="C142" s="19">
        <v>0</v>
      </c>
      <c r="D142" s="20">
        <f>SUM(Tabela19212446116[#This Row])</f>
        <v>0</v>
      </c>
      <c r="E142" s="20">
        <f t="shared" si="14"/>
        <v>0</v>
      </c>
      <c r="F142" s="53" t="str">
        <f t="shared" si="13"/>
        <v/>
      </c>
      <c r="G142" s="54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25"/>
      <c r="AO142" s="25"/>
    </row>
    <row r="143" spans="2:41" x14ac:dyDescent="0.2">
      <c r="B143" s="50" t="str">
        <f>'Wzorzec kategorii'!B105</f>
        <v>.</v>
      </c>
      <c r="C143" s="19">
        <v>0</v>
      </c>
      <c r="D143" s="20">
        <f>SUM(Tabela19212446116[#This Row])</f>
        <v>0</v>
      </c>
      <c r="E143" s="20">
        <f t="shared" si="14"/>
        <v>0</v>
      </c>
      <c r="F143" s="53" t="str">
        <f t="shared" si="13"/>
        <v/>
      </c>
      <c r="G143" s="54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25"/>
      <c r="AO143" s="25"/>
    </row>
    <row r="144" spans="2:41" x14ac:dyDescent="0.2">
      <c r="B144" s="5" t="s">
        <v>30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</row>
    <row r="145" spans="2:41" x14ac:dyDescent="0.2">
      <c r="B145" s="2" t="str">
        <f>'Wzorzec kategorii'!B107</f>
        <v>Higiena</v>
      </c>
      <c r="C145" s="3">
        <f>SUM(Tabela1135105[[#All],[Kolumna2]])</f>
        <v>0</v>
      </c>
      <c r="D145" s="16">
        <f>SUM(Tabela1135105[[#All],[Kolumna3]])</f>
        <v>0</v>
      </c>
      <c r="E145" s="3">
        <f>C145-D145</f>
        <v>0</v>
      </c>
      <c r="F145" s="17" t="str">
        <f t="shared" ref="F145:F155" si="15">IFERROR(D145/C145,"")</f>
        <v/>
      </c>
      <c r="G145" s="3"/>
      <c r="I145" s="11" t="s">
        <v>44</v>
      </c>
      <c r="J145" s="11" t="s">
        <v>45</v>
      </c>
      <c r="K145" s="11" t="s">
        <v>46</v>
      </c>
      <c r="L145" s="11" t="s">
        <v>47</v>
      </c>
      <c r="M145" s="11" t="s">
        <v>48</v>
      </c>
      <c r="N145" s="11" t="s">
        <v>49</v>
      </c>
      <c r="O145" s="11" t="s">
        <v>50</v>
      </c>
      <c r="P145" s="11" t="s">
        <v>51</v>
      </c>
      <c r="Q145" s="11" t="s">
        <v>52</v>
      </c>
      <c r="R145" s="11" t="s">
        <v>53</v>
      </c>
      <c r="S145" s="11" t="s">
        <v>54</v>
      </c>
      <c r="T145" s="11" t="s">
        <v>55</v>
      </c>
      <c r="U145" s="11" t="s">
        <v>56</v>
      </c>
      <c r="V145" s="11" t="s">
        <v>57</v>
      </c>
      <c r="W145" s="11" t="s">
        <v>58</v>
      </c>
      <c r="X145" s="11" t="s">
        <v>59</v>
      </c>
      <c r="Y145" s="11" t="s">
        <v>60</v>
      </c>
      <c r="Z145" s="11" t="s">
        <v>61</v>
      </c>
      <c r="AA145" s="11" t="s">
        <v>62</v>
      </c>
      <c r="AB145" s="11" t="s">
        <v>63</v>
      </c>
      <c r="AC145" s="11" t="s">
        <v>64</v>
      </c>
      <c r="AD145" s="11" t="s">
        <v>65</v>
      </c>
      <c r="AE145" s="11" t="s">
        <v>66</v>
      </c>
      <c r="AF145" s="11" t="s">
        <v>67</v>
      </c>
      <c r="AG145" s="11" t="s">
        <v>68</v>
      </c>
      <c r="AH145" s="11" t="s">
        <v>69</v>
      </c>
      <c r="AI145" s="11" t="s">
        <v>70</v>
      </c>
      <c r="AJ145" s="11" t="s">
        <v>71</v>
      </c>
      <c r="AK145" s="11" t="s">
        <v>72</v>
      </c>
      <c r="AL145" s="11" t="s">
        <v>73</v>
      </c>
      <c r="AM145" s="11" t="s">
        <v>74</v>
      </c>
      <c r="AN145" s="25"/>
      <c r="AO145" s="25"/>
    </row>
    <row r="146" spans="2:41" x14ac:dyDescent="0.2">
      <c r="B146" s="22" t="str">
        <f>'Wzorzec kategorii'!B108</f>
        <v>Kosmetyki</v>
      </c>
      <c r="C146" s="19">
        <v>0</v>
      </c>
      <c r="D146" s="20">
        <f>SUM(Tabela192244114[#This Row])</f>
        <v>0</v>
      </c>
      <c r="E146" s="20">
        <f t="shared" ref="E146:E155" si="16">C146-D146</f>
        <v>0</v>
      </c>
      <c r="F146" s="21" t="str">
        <f t="shared" si="15"/>
        <v/>
      </c>
      <c r="G146" s="24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25"/>
      <c r="AO146" s="25"/>
    </row>
    <row r="147" spans="2:41" x14ac:dyDescent="0.2">
      <c r="B147" s="22" t="str">
        <f>'Wzorzec kategorii'!B109</f>
        <v>Środki czystości (chemia)</v>
      </c>
      <c r="C147" s="19">
        <v>0</v>
      </c>
      <c r="D147" s="20">
        <f>SUM(Tabela192244114[#This Row])</f>
        <v>0</v>
      </c>
      <c r="E147" s="20">
        <f t="shared" si="16"/>
        <v>0</v>
      </c>
      <c r="F147" s="21" t="str">
        <f t="shared" si="15"/>
        <v/>
      </c>
      <c r="G147" s="2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25"/>
      <c r="AO147" s="25"/>
    </row>
    <row r="148" spans="2:41" x14ac:dyDescent="0.2">
      <c r="B148" s="22" t="str">
        <f>'Wzorzec kategorii'!B110</f>
        <v>Fryzjer</v>
      </c>
      <c r="C148" s="19">
        <v>0</v>
      </c>
      <c r="D148" s="20">
        <f>SUM(Tabela192244114[#This Row])</f>
        <v>0</v>
      </c>
      <c r="E148" s="20">
        <f t="shared" si="16"/>
        <v>0</v>
      </c>
      <c r="F148" s="21" t="str">
        <f t="shared" si="15"/>
        <v/>
      </c>
      <c r="G148" s="2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25"/>
      <c r="AO148" s="25"/>
    </row>
    <row r="149" spans="2:41" x14ac:dyDescent="0.2">
      <c r="B149" s="22" t="str">
        <f>'Wzorzec kategorii'!B111</f>
        <v>Kosmetyczka</v>
      </c>
      <c r="C149" s="19">
        <v>0</v>
      </c>
      <c r="D149" s="20">
        <f>SUM(Tabela192244114[#This Row])</f>
        <v>0</v>
      </c>
      <c r="E149" s="20">
        <f t="shared" si="16"/>
        <v>0</v>
      </c>
      <c r="F149" s="21" t="str">
        <f t="shared" si="15"/>
        <v/>
      </c>
      <c r="G149" s="2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25"/>
      <c r="AO149" s="25"/>
    </row>
    <row r="150" spans="2:41" x14ac:dyDescent="0.2">
      <c r="B150" s="22" t="str">
        <f>'Wzorzec kategorii'!B112</f>
        <v>Inne</v>
      </c>
      <c r="C150" s="19">
        <v>0</v>
      </c>
      <c r="D150" s="20">
        <f>SUM(Tabela192244114[#This Row])</f>
        <v>0</v>
      </c>
      <c r="E150" s="20">
        <f t="shared" si="16"/>
        <v>0</v>
      </c>
      <c r="F150" s="21" t="str">
        <f t="shared" si="15"/>
        <v/>
      </c>
      <c r="G150" s="2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25"/>
      <c r="AO150" s="25"/>
    </row>
    <row r="151" spans="2:41" x14ac:dyDescent="0.2">
      <c r="B151" s="22" t="str">
        <f>'Wzorzec kategorii'!B113</f>
        <v>.</v>
      </c>
      <c r="C151" s="19">
        <v>0</v>
      </c>
      <c r="D151" s="20">
        <f>SUM(Tabela192244114[#This Row])</f>
        <v>0</v>
      </c>
      <c r="E151" s="20">
        <f t="shared" si="16"/>
        <v>0</v>
      </c>
      <c r="F151" s="53" t="str">
        <f t="shared" si="15"/>
        <v/>
      </c>
      <c r="G151" s="54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25"/>
      <c r="AO151" s="25"/>
    </row>
    <row r="152" spans="2:41" x14ac:dyDescent="0.2">
      <c r="B152" s="22" t="str">
        <f>'Wzorzec kategorii'!B114</f>
        <v>.</v>
      </c>
      <c r="C152" s="19">
        <v>0</v>
      </c>
      <c r="D152" s="20">
        <f>SUM(Tabela192244114[#This Row])</f>
        <v>0</v>
      </c>
      <c r="E152" s="20">
        <f t="shared" si="16"/>
        <v>0</v>
      </c>
      <c r="F152" s="53" t="str">
        <f t="shared" si="15"/>
        <v/>
      </c>
      <c r="G152" s="54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25"/>
      <c r="AO152" s="25"/>
    </row>
    <row r="153" spans="2:41" x14ac:dyDescent="0.2">
      <c r="B153" s="22" t="str">
        <f>'Wzorzec kategorii'!B115</f>
        <v>.</v>
      </c>
      <c r="C153" s="19">
        <v>0</v>
      </c>
      <c r="D153" s="20">
        <f>SUM(Tabela192244114[#This Row])</f>
        <v>0</v>
      </c>
      <c r="E153" s="20">
        <f t="shared" si="16"/>
        <v>0</v>
      </c>
      <c r="F153" s="53" t="str">
        <f t="shared" si="15"/>
        <v/>
      </c>
      <c r="G153" s="54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25"/>
      <c r="AO153" s="25"/>
    </row>
    <row r="154" spans="2:41" x14ac:dyDescent="0.2">
      <c r="B154" s="22" t="str">
        <f>'Wzorzec kategorii'!B116</f>
        <v>.</v>
      </c>
      <c r="C154" s="19">
        <v>0</v>
      </c>
      <c r="D154" s="20">
        <f>SUM(Tabela192244114[#This Row])</f>
        <v>0</v>
      </c>
      <c r="E154" s="20">
        <f t="shared" si="16"/>
        <v>0</v>
      </c>
      <c r="F154" s="53" t="str">
        <f t="shared" si="15"/>
        <v/>
      </c>
      <c r="G154" s="54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25"/>
      <c r="AO154" s="25"/>
    </row>
    <row r="155" spans="2:41" x14ac:dyDescent="0.2">
      <c r="B155" s="22" t="str">
        <f>'Wzorzec kategorii'!B117</f>
        <v>.</v>
      </c>
      <c r="C155" s="19">
        <v>0</v>
      </c>
      <c r="D155" s="20">
        <f>SUM(Tabela192244114[#This Row])</f>
        <v>0</v>
      </c>
      <c r="E155" s="20">
        <f t="shared" si="16"/>
        <v>0</v>
      </c>
      <c r="F155" s="53" t="str">
        <f t="shared" si="15"/>
        <v/>
      </c>
      <c r="G155" s="54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25"/>
      <c r="AO155" s="25"/>
    </row>
    <row r="156" spans="2:41" x14ac:dyDescent="0.2">
      <c r="B156" s="5" t="s">
        <v>30</v>
      </c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</row>
    <row r="157" spans="2:41" x14ac:dyDescent="0.2">
      <c r="B157" s="2" t="str">
        <f>'Wzorzec kategorii'!B119</f>
        <v>Dzieci</v>
      </c>
      <c r="C157" s="3">
        <f>SUM(Tabela1236106[[#All],[Kolumna2]])</f>
        <v>0</v>
      </c>
      <c r="D157" s="16">
        <f>SUM(Tabela1236106[[#All],[Kolumna3]])</f>
        <v>0</v>
      </c>
      <c r="E157" s="3">
        <f>C157-D157</f>
        <v>0</v>
      </c>
      <c r="F157" s="17" t="str">
        <f>IFERROR(D157/C157,"")</f>
        <v/>
      </c>
      <c r="G157" s="3"/>
      <c r="I157" s="11" t="s">
        <v>44</v>
      </c>
      <c r="J157" s="11" t="s">
        <v>45</v>
      </c>
      <c r="K157" s="11" t="s">
        <v>46</v>
      </c>
      <c r="L157" s="11" t="s">
        <v>47</v>
      </c>
      <c r="M157" s="11" t="s">
        <v>48</v>
      </c>
      <c r="N157" s="11" t="s">
        <v>49</v>
      </c>
      <c r="O157" s="11" t="s">
        <v>50</v>
      </c>
      <c r="P157" s="11" t="s">
        <v>51</v>
      </c>
      <c r="Q157" s="11" t="s">
        <v>52</v>
      </c>
      <c r="R157" s="11" t="s">
        <v>53</v>
      </c>
      <c r="S157" s="11" t="s">
        <v>54</v>
      </c>
      <c r="T157" s="11" t="s">
        <v>55</v>
      </c>
      <c r="U157" s="11" t="s">
        <v>56</v>
      </c>
      <c r="V157" s="11" t="s">
        <v>57</v>
      </c>
      <c r="W157" s="11" t="s">
        <v>58</v>
      </c>
      <c r="X157" s="11" t="s">
        <v>59</v>
      </c>
      <c r="Y157" s="11" t="s">
        <v>60</v>
      </c>
      <c r="Z157" s="11" t="s">
        <v>61</v>
      </c>
      <c r="AA157" s="11" t="s">
        <v>62</v>
      </c>
      <c r="AB157" s="11" t="s">
        <v>63</v>
      </c>
      <c r="AC157" s="11" t="s">
        <v>64</v>
      </c>
      <c r="AD157" s="11" t="s">
        <v>65</v>
      </c>
      <c r="AE157" s="11" t="s">
        <v>66</v>
      </c>
      <c r="AF157" s="11" t="s">
        <v>67</v>
      </c>
      <c r="AG157" s="11" t="s">
        <v>68</v>
      </c>
      <c r="AH157" s="11" t="s">
        <v>69</v>
      </c>
      <c r="AI157" s="11" t="s">
        <v>70</v>
      </c>
      <c r="AJ157" s="11" t="s">
        <v>71</v>
      </c>
      <c r="AK157" s="11" t="s">
        <v>72</v>
      </c>
      <c r="AL157" s="11" t="s">
        <v>73</v>
      </c>
      <c r="AM157" s="11" t="s">
        <v>74</v>
      </c>
      <c r="AN157" s="25"/>
      <c r="AO157" s="25"/>
    </row>
    <row r="158" spans="2:41" x14ac:dyDescent="0.2">
      <c r="B158" s="22" t="str">
        <f>'Wzorzec kategorii'!B120</f>
        <v>Artykuły szkolne</v>
      </c>
      <c r="C158" s="19">
        <v>0</v>
      </c>
      <c r="D158" s="20">
        <f>SUM(Tabela2548118[#This Row])</f>
        <v>0</v>
      </c>
      <c r="E158" s="20">
        <f t="shared" ref="E158:E167" si="17">C158-D158</f>
        <v>0</v>
      </c>
      <c r="F158" s="21" t="str">
        <f t="shared" ref="F158:F167" si="18">IFERROR(D158/C158,"")</f>
        <v/>
      </c>
      <c r="G158" s="2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25"/>
      <c r="AO158" s="25"/>
    </row>
    <row r="159" spans="2:41" x14ac:dyDescent="0.2">
      <c r="B159" s="22" t="str">
        <f>'Wzorzec kategorii'!B121</f>
        <v>Dodatkowe zajęcia</v>
      </c>
      <c r="C159" s="19">
        <v>0</v>
      </c>
      <c r="D159" s="20">
        <f>SUM(Tabela2548118[#This Row])</f>
        <v>0</v>
      </c>
      <c r="E159" s="20">
        <f t="shared" si="17"/>
        <v>0</v>
      </c>
      <c r="F159" s="21" t="str">
        <f t="shared" si="18"/>
        <v/>
      </c>
      <c r="G159" s="2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25"/>
      <c r="AO159" s="25"/>
    </row>
    <row r="160" spans="2:41" x14ac:dyDescent="0.2">
      <c r="B160" s="22" t="str">
        <f>'Wzorzec kategorii'!B122</f>
        <v>Wpłaty na szkołę itp.</v>
      </c>
      <c r="C160" s="19">
        <v>0</v>
      </c>
      <c r="D160" s="20">
        <f>SUM(Tabela2548118[#This Row])</f>
        <v>0</v>
      </c>
      <c r="E160" s="20">
        <f t="shared" si="17"/>
        <v>0</v>
      </c>
      <c r="F160" s="21" t="str">
        <f t="shared" si="18"/>
        <v/>
      </c>
      <c r="G160" s="2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25"/>
      <c r="AO160" s="25"/>
    </row>
    <row r="161" spans="2:41" x14ac:dyDescent="0.2">
      <c r="B161" s="22" t="str">
        <f>'Wzorzec kategorii'!B123</f>
        <v>Zabawki / gry</v>
      </c>
      <c r="C161" s="19">
        <v>0</v>
      </c>
      <c r="D161" s="20">
        <f>SUM(Tabela2548118[#This Row])</f>
        <v>0</v>
      </c>
      <c r="E161" s="20">
        <f t="shared" si="17"/>
        <v>0</v>
      </c>
      <c r="F161" s="21" t="str">
        <f t="shared" si="18"/>
        <v/>
      </c>
      <c r="G161" s="2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25"/>
      <c r="AO161" s="25"/>
    </row>
    <row r="162" spans="2:41" x14ac:dyDescent="0.2">
      <c r="B162" s="22" t="str">
        <f>'Wzorzec kategorii'!B124</f>
        <v>Opieka nad dziećmi</v>
      </c>
      <c r="C162" s="19">
        <v>0</v>
      </c>
      <c r="D162" s="20">
        <f>SUM(Tabela2548118[#This Row])</f>
        <v>0</v>
      </c>
      <c r="E162" s="20">
        <f t="shared" si="17"/>
        <v>0</v>
      </c>
      <c r="F162" s="21" t="str">
        <f t="shared" si="18"/>
        <v/>
      </c>
      <c r="G162" s="2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25"/>
      <c r="AO162" s="25"/>
    </row>
    <row r="163" spans="2:41" x14ac:dyDescent="0.2">
      <c r="B163" s="22" t="str">
        <f>'Wzorzec kategorii'!B125</f>
        <v>Inne</v>
      </c>
      <c r="C163" s="19">
        <v>0</v>
      </c>
      <c r="D163" s="20">
        <f>SUM(Tabela2548118[#This Row])</f>
        <v>0</v>
      </c>
      <c r="E163" s="20">
        <f t="shared" si="17"/>
        <v>0</v>
      </c>
      <c r="F163" s="21" t="str">
        <f t="shared" si="18"/>
        <v/>
      </c>
      <c r="G163" s="24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25"/>
      <c r="AO163" s="25"/>
    </row>
    <row r="164" spans="2:41" x14ac:dyDescent="0.2">
      <c r="B164" s="51" t="str">
        <f>'Wzorzec kategorii'!B126</f>
        <v>.</v>
      </c>
      <c r="C164" s="19">
        <v>0</v>
      </c>
      <c r="D164" s="20">
        <f>SUM(Tabela2548118[#This Row])</f>
        <v>0</v>
      </c>
      <c r="E164" s="20">
        <f t="shared" si="17"/>
        <v>0</v>
      </c>
      <c r="F164" s="53" t="str">
        <f t="shared" si="18"/>
        <v/>
      </c>
      <c r="G164" s="24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25"/>
      <c r="AO164" s="25"/>
    </row>
    <row r="165" spans="2:41" x14ac:dyDescent="0.2">
      <c r="B165" s="51" t="str">
        <f>'Wzorzec kategorii'!B127</f>
        <v>.</v>
      </c>
      <c r="C165" s="19">
        <v>0</v>
      </c>
      <c r="D165" s="20">
        <f>SUM(Tabela2548118[#This Row])</f>
        <v>0</v>
      </c>
      <c r="E165" s="20">
        <f t="shared" si="17"/>
        <v>0</v>
      </c>
      <c r="F165" s="53" t="str">
        <f t="shared" si="18"/>
        <v/>
      </c>
      <c r="G165" s="24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25"/>
      <c r="AO165" s="25"/>
    </row>
    <row r="166" spans="2:41" x14ac:dyDescent="0.2">
      <c r="B166" s="51" t="str">
        <f>'Wzorzec kategorii'!B128</f>
        <v>.</v>
      </c>
      <c r="C166" s="19">
        <v>0</v>
      </c>
      <c r="D166" s="20">
        <f>SUM(Tabela2548118[#This Row])</f>
        <v>0</v>
      </c>
      <c r="E166" s="20">
        <f t="shared" si="17"/>
        <v>0</v>
      </c>
      <c r="F166" s="53" t="str">
        <f t="shared" si="18"/>
        <v/>
      </c>
      <c r="G166" s="24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25"/>
      <c r="AO166" s="25"/>
    </row>
    <row r="167" spans="2:41" x14ac:dyDescent="0.2">
      <c r="B167" s="51" t="str">
        <f>'Wzorzec kategorii'!B129</f>
        <v>.</v>
      </c>
      <c r="C167" s="19">
        <v>0</v>
      </c>
      <c r="D167" s="20">
        <f>SUM(Tabela2548118[#This Row])</f>
        <v>0</v>
      </c>
      <c r="E167" s="20">
        <f t="shared" si="17"/>
        <v>0</v>
      </c>
      <c r="F167" s="53" t="str">
        <f t="shared" si="18"/>
        <v/>
      </c>
      <c r="G167" s="24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25"/>
      <c r="AO167" s="25"/>
    </row>
    <row r="168" spans="2:41" x14ac:dyDescent="0.2">
      <c r="B168" s="5" t="s">
        <v>30</v>
      </c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</row>
    <row r="169" spans="2:41" x14ac:dyDescent="0.2">
      <c r="B169" s="2" t="str">
        <f>'Wzorzec kategorii'!B131</f>
        <v>Rozrywka</v>
      </c>
      <c r="C169" s="3">
        <f>SUM(Tabela1337107[[#All],[Kolumna2]])</f>
        <v>0</v>
      </c>
      <c r="D169" s="16">
        <f>SUM(Tabela1337107[[#All],[Kolumna3]])</f>
        <v>0</v>
      </c>
      <c r="E169" s="3">
        <f>C169-D169</f>
        <v>0</v>
      </c>
      <c r="F169" s="17" t="str">
        <f>IFERROR(D169/C169,"")</f>
        <v/>
      </c>
      <c r="G169" s="3"/>
      <c r="I169" s="11" t="s">
        <v>44</v>
      </c>
      <c r="J169" s="11" t="s">
        <v>45</v>
      </c>
      <c r="K169" s="11" t="s">
        <v>46</v>
      </c>
      <c r="L169" s="11" t="s">
        <v>47</v>
      </c>
      <c r="M169" s="11" t="s">
        <v>48</v>
      </c>
      <c r="N169" s="11" t="s">
        <v>49</v>
      </c>
      <c r="O169" s="11" t="s">
        <v>50</v>
      </c>
      <c r="P169" s="11" t="s">
        <v>51</v>
      </c>
      <c r="Q169" s="11" t="s">
        <v>52</v>
      </c>
      <c r="R169" s="11" t="s">
        <v>53</v>
      </c>
      <c r="S169" s="11" t="s">
        <v>54</v>
      </c>
      <c r="T169" s="11" t="s">
        <v>55</v>
      </c>
      <c r="U169" s="11" t="s">
        <v>56</v>
      </c>
      <c r="V169" s="11" t="s">
        <v>57</v>
      </c>
      <c r="W169" s="11" t="s">
        <v>58</v>
      </c>
      <c r="X169" s="11" t="s">
        <v>59</v>
      </c>
      <c r="Y169" s="11" t="s">
        <v>60</v>
      </c>
      <c r="Z169" s="11" t="s">
        <v>61</v>
      </c>
      <c r="AA169" s="11" t="s">
        <v>62</v>
      </c>
      <c r="AB169" s="11" t="s">
        <v>63</v>
      </c>
      <c r="AC169" s="11" t="s">
        <v>64</v>
      </c>
      <c r="AD169" s="11" t="s">
        <v>65</v>
      </c>
      <c r="AE169" s="11" t="s">
        <v>66</v>
      </c>
      <c r="AF169" s="11" t="s">
        <v>67</v>
      </c>
      <c r="AG169" s="11" t="s">
        <v>68</v>
      </c>
      <c r="AH169" s="11" t="s">
        <v>69</v>
      </c>
      <c r="AI169" s="11" t="s">
        <v>70</v>
      </c>
      <c r="AJ169" s="11" t="s">
        <v>71</v>
      </c>
      <c r="AK169" s="11" t="s">
        <v>72</v>
      </c>
      <c r="AL169" s="11" t="s">
        <v>73</v>
      </c>
      <c r="AM169" s="11" t="s">
        <v>74</v>
      </c>
      <c r="AN169" s="25"/>
      <c r="AO169" s="25"/>
    </row>
    <row r="170" spans="2:41" x14ac:dyDescent="0.2">
      <c r="B170" s="22" t="str">
        <f>'Wzorzec kategorii'!B132</f>
        <v>Siłownia / Basen</v>
      </c>
      <c r="C170" s="19">
        <v>0</v>
      </c>
      <c r="D170" s="20">
        <f>SUM(Tabela2649119[#This Row])</f>
        <v>0</v>
      </c>
      <c r="E170" s="20">
        <f t="shared" ref="E170:E179" si="19">C170-D170</f>
        <v>0</v>
      </c>
      <c r="F170" s="21" t="str">
        <f t="shared" ref="F170:F179" si="20">IFERROR(D170/C170,"")</f>
        <v/>
      </c>
      <c r="G170" s="24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25"/>
      <c r="AO170" s="25"/>
    </row>
    <row r="171" spans="2:41" x14ac:dyDescent="0.2">
      <c r="B171" s="22" t="str">
        <f>'Wzorzec kategorii'!B133</f>
        <v>Kino / Teatr</v>
      </c>
      <c r="C171" s="19">
        <v>0</v>
      </c>
      <c r="D171" s="20">
        <f>SUM(Tabela2649119[#This Row])</f>
        <v>0</v>
      </c>
      <c r="E171" s="20">
        <f t="shared" si="19"/>
        <v>0</v>
      </c>
      <c r="F171" s="21" t="str">
        <f t="shared" si="20"/>
        <v/>
      </c>
      <c r="G171" s="24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25"/>
      <c r="AO171" s="25"/>
    </row>
    <row r="172" spans="2:41" x14ac:dyDescent="0.2">
      <c r="B172" s="22" t="str">
        <f>'Wzorzec kategorii'!B134</f>
        <v>Koncerty</v>
      </c>
      <c r="C172" s="19">
        <v>0</v>
      </c>
      <c r="D172" s="20">
        <f>SUM(Tabela2649119[#This Row])</f>
        <v>0</v>
      </c>
      <c r="E172" s="20">
        <f t="shared" si="19"/>
        <v>0</v>
      </c>
      <c r="F172" s="21" t="str">
        <f t="shared" si="20"/>
        <v/>
      </c>
      <c r="G172" s="24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25"/>
      <c r="AO172" s="25"/>
    </row>
    <row r="173" spans="2:41" x14ac:dyDescent="0.2">
      <c r="B173" s="22" t="str">
        <f>'Wzorzec kategorii'!B135</f>
        <v>Czasopisma</v>
      </c>
      <c r="C173" s="19">
        <v>0</v>
      </c>
      <c r="D173" s="20">
        <f>SUM(Tabela2649119[#This Row])</f>
        <v>0</v>
      </c>
      <c r="E173" s="20">
        <f t="shared" si="19"/>
        <v>0</v>
      </c>
      <c r="F173" s="21" t="str">
        <f t="shared" si="20"/>
        <v/>
      </c>
      <c r="G173" s="24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25"/>
      <c r="AO173" s="25"/>
    </row>
    <row r="174" spans="2:41" x14ac:dyDescent="0.2">
      <c r="B174" s="22" t="str">
        <f>'Wzorzec kategorii'!B136</f>
        <v>Książki</v>
      </c>
      <c r="C174" s="19">
        <v>0</v>
      </c>
      <c r="D174" s="20">
        <f>SUM(Tabela2649119[#This Row])</f>
        <v>0</v>
      </c>
      <c r="E174" s="20">
        <f t="shared" si="19"/>
        <v>0</v>
      </c>
      <c r="F174" s="21" t="str">
        <f t="shared" si="20"/>
        <v/>
      </c>
      <c r="G174" s="24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25"/>
      <c r="AO174" s="25"/>
    </row>
    <row r="175" spans="2:41" x14ac:dyDescent="0.2">
      <c r="B175" s="22" t="str">
        <f>'Wzorzec kategorii'!B137</f>
        <v>Hobby</v>
      </c>
      <c r="C175" s="19">
        <v>0</v>
      </c>
      <c r="D175" s="20">
        <f>SUM(Tabela2649119[#This Row])</f>
        <v>0</v>
      </c>
      <c r="E175" s="20">
        <f t="shared" si="19"/>
        <v>0</v>
      </c>
      <c r="F175" s="21" t="str">
        <f t="shared" si="20"/>
        <v/>
      </c>
      <c r="G175" s="24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25"/>
      <c r="AO175" s="25"/>
    </row>
    <row r="176" spans="2:41" x14ac:dyDescent="0.2">
      <c r="B176" s="22" t="str">
        <f>'Wzorzec kategorii'!B138</f>
        <v>Hotel / Turystyka</v>
      </c>
      <c r="C176" s="19">
        <v>0</v>
      </c>
      <c r="D176" s="20">
        <f>SUM(Tabela2649119[#This Row])</f>
        <v>0</v>
      </c>
      <c r="E176" s="20">
        <f t="shared" si="19"/>
        <v>0</v>
      </c>
      <c r="F176" s="21" t="str">
        <f t="shared" si="20"/>
        <v/>
      </c>
      <c r="G176" s="24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25"/>
      <c r="AO176" s="25"/>
    </row>
    <row r="177" spans="2:41" x14ac:dyDescent="0.2">
      <c r="B177" s="22" t="str">
        <f>'Wzorzec kategorii'!B139</f>
        <v>Inne</v>
      </c>
      <c r="C177" s="19">
        <v>0</v>
      </c>
      <c r="D177" s="20">
        <f>SUM(Tabela2649119[#This Row])</f>
        <v>0</v>
      </c>
      <c r="E177" s="20">
        <f t="shared" si="19"/>
        <v>0</v>
      </c>
      <c r="F177" s="21" t="str">
        <f t="shared" si="20"/>
        <v/>
      </c>
      <c r="G177" s="24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25"/>
      <c r="AO177" s="25"/>
    </row>
    <row r="178" spans="2:41" x14ac:dyDescent="0.2">
      <c r="B178" s="22" t="str">
        <f>'Wzorzec kategorii'!B140</f>
        <v>.</v>
      </c>
      <c r="C178" s="19">
        <v>0</v>
      </c>
      <c r="D178" s="20">
        <f>SUM(Tabela2649119[#This Row])</f>
        <v>0</v>
      </c>
      <c r="E178" s="20">
        <f t="shared" si="19"/>
        <v>0</v>
      </c>
      <c r="F178" s="53" t="str">
        <f t="shared" si="20"/>
        <v/>
      </c>
      <c r="G178" s="54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25"/>
      <c r="AO178" s="25"/>
    </row>
    <row r="179" spans="2:41" x14ac:dyDescent="0.2">
      <c r="B179" s="22" t="str">
        <f>'Wzorzec kategorii'!B141</f>
        <v>.</v>
      </c>
      <c r="C179" s="19">
        <v>0</v>
      </c>
      <c r="D179" s="20">
        <f>SUM(Tabela2649119[#This Row])</f>
        <v>0</v>
      </c>
      <c r="E179" s="20">
        <f t="shared" si="19"/>
        <v>0</v>
      </c>
      <c r="F179" s="53" t="str">
        <f t="shared" si="20"/>
        <v/>
      </c>
      <c r="G179" s="54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25"/>
      <c r="AO179" s="25"/>
    </row>
    <row r="180" spans="2:41" x14ac:dyDescent="0.2">
      <c r="B180" s="5" t="s">
        <v>30</v>
      </c>
      <c r="AN180" s="25"/>
      <c r="AO180" s="25"/>
    </row>
    <row r="181" spans="2:41" x14ac:dyDescent="0.2">
      <c r="B181" s="2" t="str">
        <f>'Wzorzec kategorii'!B143</f>
        <v>Inne wydatki</v>
      </c>
      <c r="C181" s="3">
        <f>SUM(Tabela1438108[[#All],[Kolumna2]])</f>
        <v>0</v>
      </c>
      <c r="D181" s="16">
        <f>SUM(Tabela1438108[[#All],[Kolumna3]])</f>
        <v>0</v>
      </c>
      <c r="E181" s="3">
        <f>C181-D181</f>
        <v>0</v>
      </c>
      <c r="F181" s="17" t="str">
        <f>IFERROR(D181/C181,"")</f>
        <v/>
      </c>
      <c r="G181" s="3"/>
      <c r="I181" s="11" t="s">
        <v>44</v>
      </c>
      <c r="J181" s="11" t="s">
        <v>45</v>
      </c>
      <c r="K181" s="11" t="s">
        <v>46</v>
      </c>
      <c r="L181" s="11" t="s">
        <v>47</v>
      </c>
      <c r="M181" s="11" t="s">
        <v>48</v>
      </c>
      <c r="N181" s="11" t="s">
        <v>49</v>
      </c>
      <c r="O181" s="11" t="s">
        <v>50</v>
      </c>
      <c r="P181" s="11" t="s">
        <v>51</v>
      </c>
      <c r="Q181" s="11" t="s">
        <v>52</v>
      </c>
      <c r="R181" s="11" t="s">
        <v>53</v>
      </c>
      <c r="S181" s="11" t="s">
        <v>54</v>
      </c>
      <c r="T181" s="11" t="s">
        <v>55</v>
      </c>
      <c r="U181" s="11" t="s">
        <v>56</v>
      </c>
      <c r="V181" s="11" t="s">
        <v>57</v>
      </c>
      <c r="W181" s="11" t="s">
        <v>58</v>
      </c>
      <c r="X181" s="11" t="s">
        <v>59</v>
      </c>
      <c r="Y181" s="11" t="s">
        <v>60</v>
      </c>
      <c r="Z181" s="11" t="s">
        <v>61</v>
      </c>
      <c r="AA181" s="11" t="s">
        <v>62</v>
      </c>
      <c r="AB181" s="11" t="s">
        <v>63</v>
      </c>
      <c r="AC181" s="11" t="s">
        <v>64</v>
      </c>
      <c r="AD181" s="11" t="s">
        <v>65</v>
      </c>
      <c r="AE181" s="11" t="s">
        <v>66</v>
      </c>
      <c r="AF181" s="11" t="s">
        <v>67</v>
      </c>
      <c r="AG181" s="11" t="s">
        <v>68</v>
      </c>
      <c r="AH181" s="11" t="s">
        <v>69</v>
      </c>
      <c r="AI181" s="11" t="s">
        <v>70</v>
      </c>
      <c r="AJ181" s="11" t="s">
        <v>71</v>
      </c>
      <c r="AK181" s="11" t="s">
        <v>72</v>
      </c>
      <c r="AL181" s="11" t="s">
        <v>73</v>
      </c>
      <c r="AM181" s="11" t="s">
        <v>74</v>
      </c>
      <c r="AN181" s="25"/>
      <c r="AO181" s="25"/>
    </row>
    <row r="182" spans="2:41" x14ac:dyDescent="0.2">
      <c r="B182" s="22" t="str">
        <f>'Wzorzec kategorii'!B144</f>
        <v>Dobroczynność</v>
      </c>
      <c r="C182" s="19">
        <v>0</v>
      </c>
      <c r="D182" s="20">
        <f>SUM(Tabela2750120[#This Row])</f>
        <v>0</v>
      </c>
      <c r="E182" s="20">
        <f t="shared" ref="E182:E191" si="21">C182-D182</f>
        <v>0</v>
      </c>
      <c r="F182" s="21" t="str">
        <f t="shared" ref="F182:F191" si="22">IFERROR(D182/C182,"")</f>
        <v/>
      </c>
      <c r="G182" s="24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25"/>
      <c r="AO182" s="25"/>
    </row>
    <row r="183" spans="2:41" x14ac:dyDescent="0.2">
      <c r="B183" s="22" t="str">
        <f>'Wzorzec kategorii'!B145</f>
        <v>Prezenty</v>
      </c>
      <c r="C183" s="19">
        <v>0</v>
      </c>
      <c r="D183" s="20">
        <f>SUM(Tabela2750120[#This Row])</f>
        <v>0</v>
      </c>
      <c r="E183" s="20">
        <f t="shared" si="21"/>
        <v>0</v>
      </c>
      <c r="F183" s="21" t="str">
        <f t="shared" si="22"/>
        <v/>
      </c>
      <c r="G183" s="24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25"/>
      <c r="AO183" s="25"/>
    </row>
    <row r="184" spans="2:41" x14ac:dyDescent="0.2">
      <c r="B184" s="22" t="str">
        <f>'Wzorzec kategorii'!B146</f>
        <v>Sprzęt RTV</v>
      </c>
      <c r="C184" s="19">
        <v>0</v>
      </c>
      <c r="D184" s="20">
        <f>SUM(Tabela2750120[#This Row])</f>
        <v>0</v>
      </c>
      <c r="E184" s="20">
        <f t="shared" si="21"/>
        <v>0</v>
      </c>
      <c r="F184" s="21" t="str">
        <f t="shared" si="22"/>
        <v/>
      </c>
      <c r="G184" s="24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25"/>
      <c r="AO184" s="25"/>
    </row>
    <row r="185" spans="2:41" x14ac:dyDescent="0.2">
      <c r="B185" s="22" t="str">
        <f>'Wzorzec kategorii'!B147</f>
        <v>Oprogramowanie</v>
      </c>
      <c r="C185" s="19">
        <v>0</v>
      </c>
      <c r="D185" s="20">
        <f>SUM(Tabela2750120[#This Row])</f>
        <v>0</v>
      </c>
      <c r="E185" s="20">
        <f t="shared" si="21"/>
        <v>0</v>
      </c>
      <c r="F185" s="21" t="str">
        <f t="shared" si="22"/>
        <v/>
      </c>
      <c r="G185" s="24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25"/>
      <c r="AO185" s="25"/>
    </row>
    <row r="186" spans="2:41" x14ac:dyDescent="0.2">
      <c r="B186" s="22" t="str">
        <f>'Wzorzec kategorii'!B148</f>
        <v>Edukacja / Szkolenia</v>
      </c>
      <c r="C186" s="19">
        <v>0</v>
      </c>
      <c r="D186" s="20">
        <f>SUM(Tabela2750120[#This Row])</f>
        <v>0</v>
      </c>
      <c r="E186" s="20">
        <f t="shared" si="21"/>
        <v>0</v>
      </c>
      <c r="F186" s="21" t="str">
        <f t="shared" si="22"/>
        <v/>
      </c>
      <c r="G186" s="24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25"/>
      <c r="AO186" s="25"/>
    </row>
    <row r="187" spans="2:41" x14ac:dyDescent="0.2">
      <c r="B187" s="22" t="str">
        <f>'Wzorzec kategorii'!B149</f>
        <v>Usługi inne</v>
      </c>
      <c r="C187" s="19">
        <v>0</v>
      </c>
      <c r="D187" s="20">
        <f>SUM(Tabela2750120[#This Row])</f>
        <v>0</v>
      </c>
      <c r="E187" s="20">
        <f t="shared" si="21"/>
        <v>0</v>
      </c>
      <c r="F187" s="21" t="str">
        <f t="shared" si="22"/>
        <v/>
      </c>
      <c r="G187" s="24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25"/>
      <c r="AO187" s="25"/>
    </row>
    <row r="188" spans="2:41" x14ac:dyDescent="0.2">
      <c r="B188" s="22" t="str">
        <f>'Wzorzec kategorii'!B150</f>
        <v>Podatki</v>
      </c>
      <c r="C188" s="19">
        <v>0</v>
      </c>
      <c r="D188" s="20">
        <f>SUM(Tabela2750120[#This Row])</f>
        <v>0</v>
      </c>
      <c r="E188" s="20">
        <f t="shared" si="21"/>
        <v>0</v>
      </c>
      <c r="F188" s="21" t="str">
        <f t="shared" si="22"/>
        <v/>
      </c>
      <c r="G188" s="24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25"/>
      <c r="AO188" s="25"/>
    </row>
    <row r="189" spans="2:41" x14ac:dyDescent="0.2">
      <c r="B189" s="22" t="str">
        <f>'Wzorzec kategorii'!B151</f>
        <v>Inne</v>
      </c>
      <c r="C189" s="19">
        <v>0</v>
      </c>
      <c r="D189" s="20">
        <f>SUM(Tabela2750120[#This Row])</f>
        <v>0</v>
      </c>
      <c r="E189" s="20">
        <f t="shared" si="21"/>
        <v>0</v>
      </c>
      <c r="F189" s="21" t="str">
        <f t="shared" si="22"/>
        <v/>
      </c>
      <c r="G189" s="24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25"/>
      <c r="AO189" s="25"/>
    </row>
    <row r="190" spans="2:41" x14ac:dyDescent="0.2">
      <c r="B190" s="22" t="str">
        <f>'Wzorzec kategorii'!B152</f>
        <v>.</v>
      </c>
      <c r="C190" s="19">
        <v>0</v>
      </c>
      <c r="D190" s="20">
        <f>SUM(Tabela2750120[#This Row])</f>
        <v>0</v>
      </c>
      <c r="E190" s="20">
        <f t="shared" si="21"/>
        <v>0</v>
      </c>
      <c r="F190" s="53" t="str">
        <f t="shared" si="22"/>
        <v/>
      </c>
      <c r="G190" s="54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25"/>
      <c r="AO190" s="25"/>
    </row>
    <row r="191" spans="2:41" x14ac:dyDescent="0.2">
      <c r="B191" s="22" t="str">
        <f>'Wzorzec kategorii'!B153</f>
        <v>.</v>
      </c>
      <c r="C191" s="19">
        <v>0</v>
      </c>
      <c r="D191" s="20">
        <f>SUM(Tabela2750120[#This Row])</f>
        <v>0</v>
      </c>
      <c r="E191" s="20">
        <f t="shared" si="21"/>
        <v>0</v>
      </c>
      <c r="F191" s="53" t="str">
        <f t="shared" si="22"/>
        <v/>
      </c>
      <c r="G191" s="54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25"/>
      <c r="AO191" s="25"/>
    </row>
    <row r="192" spans="2:41" x14ac:dyDescent="0.2">
      <c r="B192" s="5" t="s">
        <v>30</v>
      </c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</row>
    <row r="193" spans="2:41" x14ac:dyDescent="0.2">
      <c r="B193" s="2" t="str">
        <f>'Wzorzec kategorii'!B155</f>
        <v>Spłata długów</v>
      </c>
      <c r="C193" s="3">
        <f>SUM(Tabela1539109[[#All],[Kolumna2]])</f>
        <v>0</v>
      </c>
      <c r="D193" s="16">
        <f>SUM(Tabela1539109[[#All],[Kolumna3]])</f>
        <v>0</v>
      </c>
      <c r="E193" s="3">
        <f>C193-D193</f>
        <v>0</v>
      </c>
      <c r="F193" s="17" t="str">
        <f>IFERROR(D193/C193,"")</f>
        <v/>
      </c>
      <c r="G193" s="3"/>
      <c r="I193" s="11" t="s">
        <v>44</v>
      </c>
      <c r="J193" s="11" t="s">
        <v>45</v>
      </c>
      <c r="K193" s="11" t="s">
        <v>46</v>
      </c>
      <c r="L193" s="11" t="s">
        <v>47</v>
      </c>
      <c r="M193" s="11" t="s">
        <v>48</v>
      </c>
      <c r="N193" s="11" t="s">
        <v>49</v>
      </c>
      <c r="O193" s="11" t="s">
        <v>50</v>
      </c>
      <c r="P193" s="11" t="s">
        <v>51</v>
      </c>
      <c r="Q193" s="11" t="s">
        <v>52</v>
      </c>
      <c r="R193" s="11" t="s">
        <v>53</v>
      </c>
      <c r="S193" s="11" t="s">
        <v>54</v>
      </c>
      <c r="T193" s="11" t="s">
        <v>55</v>
      </c>
      <c r="U193" s="11" t="s">
        <v>56</v>
      </c>
      <c r="V193" s="11" t="s">
        <v>57</v>
      </c>
      <c r="W193" s="11" t="s">
        <v>58</v>
      </c>
      <c r="X193" s="11" t="s">
        <v>59</v>
      </c>
      <c r="Y193" s="11" t="s">
        <v>60</v>
      </c>
      <c r="Z193" s="11" t="s">
        <v>61</v>
      </c>
      <c r="AA193" s="11" t="s">
        <v>62</v>
      </c>
      <c r="AB193" s="11" t="s">
        <v>63</v>
      </c>
      <c r="AC193" s="11" t="s">
        <v>64</v>
      </c>
      <c r="AD193" s="11" t="s">
        <v>65</v>
      </c>
      <c r="AE193" s="11" t="s">
        <v>66</v>
      </c>
      <c r="AF193" s="11" t="s">
        <v>67</v>
      </c>
      <c r="AG193" s="11" t="s">
        <v>68</v>
      </c>
      <c r="AH193" s="11" t="s">
        <v>69</v>
      </c>
      <c r="AI193" s="11" t="s">
        <v>70</v>
      </c>
      <c r="AJ193" s="11" t="s">
        <v>71</v>
      </c>
      <c r="AK193" s="11" t="s">
        <v>72</v>
      </c>
      <c r="AL193" s="11" t="s">
        <v>73</v>
      </c>
      <c r="AM193" s="11" t="s">
        <v>74</v>
      </c>
      <c r="AN193" s="25"/>
      <c r="AO193" s="25"/>
    </row>
    <row r="194" spans="2:41" x14ac:dyDescent="0.2">
      <c r="B194" s="22" t="str">
        <f>'Wzorzec kategorii'!B156</f>
        <v>Kredyt hipoteczny</v>
      </c>
      <c r="C194" s="19">
        <v>0</v>
      </c>
      <c r="D194" s="20">
        <f>SUM(Tabela2851121[#This Row])</f>
        <v>0</v>
      </c>
      <c r="E194" s="20">
        <f t="shared" ref="E194:E203" si="23">C194-D194</f>
        <v>0</v>
      </c>
      <c r="F194" s="21" t="str">
        <f t="shared" ref="F194:F203" si="24">IFERROR(D194/C194,"")</f>
        <v/>
      </c>
      <c r="G194" s="24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25"/>
      <c r="AO194" s="25"/>
    </row>
    <row r="195" spans="2:41" x14ac:dyDescent="0.2">
      <c r="B195" s="22" t="str">
        <f>'Wzorzec kategorii'!B157</f>
        <v>Kredyt konsumpcyjny</v>
      </c>
      <c r="C195" s="19">
        <v>0</v>
      </c>
      <c r="D195" s="20">
        <f>SUM(Tabela2851121[#This Row])</f>
        <v>0</v>
      </c>
      <c r="E195" s="20">
        <f t="shared" si="23"/>
        <v>0</v>
      </c>
      <c r="F195" s="21" t="str">
        <f t="shared" si="24"/>
        <v/>
      </c>
      <c r="G195" s="24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25"/>
      <c r="AO195" s="25"/>
    </row>
    <row r="196" spans="2:41" x14ac:dyDescent="0.2">
      <c r="B196" s="22" t="str">
        <f>'Wzorzec kategorii'!B158</f>
        <v>Pożyczka osobista</v>
      </c>
      <c r="C196" s="19">
        <v>0</v>
      </c>
      <c r="D196" s="20">
        <f>SUM(Tabela2851121[#This Row])</f>
        <v>0</v>
      </c>
      <c r="E196" s="20">
        <f t="shared" si="23"/>
        <v>0</v>
      </c>
      <c r="F196" s="21" t="str">
        <f t="shared" si="24"/>
        <v/>
      </c>
      <c r="G196" s="24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25"/>
      <c r="AO196" s="25"/>
    </row>
    <row r="197" spans="2:41" x14ac:dyDescent="0.2">
      <c r="B197" s="22" t="str">
        <f>'Wzorzec kategorii'!B159</f>
        <v>Inne</v>
      </c>
      <c r="C197" s="19">
        <v>0</v>
      </c>
      <c r="D197" s="20">
        <f>SUM(Tabela2851121[#This Row])</f>
        <v>0</v>
      </c>
      <c r="E197" s="20">
        <f t="shared" si="23"/>
        <v>0</v>
      </c>
      <c r="F197" s="21" t="str">
        <f t="shared" si="24"/>
        <v/>
      </c>
      <c r="G197" s="24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25"/>
      <c r="AO197" s="25"/>
    </row>
    <row r="198" spans="2:41" x14ac:dyDescent="0.2">
      <c r="B198" s="22" t="str">
        <f>'Wzorzec kategorii'!B160</f>
        <v>.</v>
      </c>
      <c r="C198" s="19">
        <v>0</v>
      </c>
      <c r="D198" s="20">
        <f>SUM(Tabela2851121[#This Row])</f>
        <v>0</v>
      </c>
      <c r="E198" s="20">
        <f t="shared" si="23"/>
        <v>0</v>
      </c>
      <c r="F198" s="21" t="str">
        <f t="shared" si="24"/>
        <v/>
      </c>
      <c r="G198" s="24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25"/>
      <c r="AO198" s="25"/>
    </row>
    <row r="199" spans="2:41" x14ac:dyDescent="0.2">
      <c r="B199" s="22" t="str">
        <f>'Wzorzec kategorii'!B161</f>
        <v>.</v>
      </c>
      <c r="C199" s="19">
        <v>0</v>
      </c>
      <c r="D199" s="20">
        <f>SUM(Tabela2851121[#This Row])</f>
        <v>0</v>
      </c>
      <c r="E199" s="20">
        <f t="shared" si="23"/>
        <v>0</v>
      </c>
      <c r="F199" s="21" t="str">
        <f t="shared" si="24"/>
        <v/>
      </c>
      <c r="G199" s="24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25"/>
      <c r="AO199" s="25"/>
    </row>
    <row r="200" spans="2:41" x14ac:dyDescent="0.2">
      <c r="B200" s="22" t="str">
        <f>'Wzorzec kategorii'!B162</f>
        <v>.</v>
      </c>
      <c r="C200" s="19">
        <v>0</v>
      </c>
      <c r="D200" s="20">
        <f>SUM(Tabela2851121[#This Row])</f>
        <v>0</v>
      </c>
      <c r="E200" s="20">
        <f t="shared" si="23"/>
        <v>0</v>
      </c>
      <c r="F200" s="53" t="str">
        <f t="shared" si="24"/>
        <v/>
      </c>
      <c r="G200" s="54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25"/>
      <c r="AO200" s="25"/>
    </row>
    <row r="201" spans="2:41" x14ac:dyDescent="0.2">
      <c r="B201" s="22" t="str">
        <f>'Wzorzec kategorii'!B163</f>
        <v>.</v>
      </c>
      <c r="C201" s="19">
        <v>0</v>
      </c>
      <c r="D201" s="20">
        <f>SUM(Tabela2851121[#This Row])</f>
        <v>0</v>
      </c>
      <c r="E201" s="20">
        <f t="shared" si="23"/>
        <v>0</v>
      </c>
      <c r="F201" s="53" t="str">
        <f t="shared" si="24"/>
        <v/>
      </c>
      <c r="G201" s="54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25"/>
      <c r="AO201" s="25"/>
    </row>
    <row r="202" spans="2:41" x14ac:dyDescent="0.2">
      <c r="B202" s="22" t="str">
        <f>'Wzorzec kategorii'!B164</f>
        <v>.</v>
      </c>
      <c r="C202" s="19">
        <v>0</v>
      </c>
      <c r="D202" s="20">
        <f>SUM(Tabela2851121[#This Row])</f>
        <v>0</v>
      </c>
      <c r="E202" s="20">
        <f t="shared" si="23"/>
        <v>0</v>
      </c>
      <c r="F202" s="53" t="str">
        <f t="shared" si="24"/>
        <v/>
      </c>
      <c r="G202" s="54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25"/>
      <c r="AO202" s="25"/>
    </row>
    <row r="203" spans="2:41" x14ac:dyDescent="0.2">
      <c r="B203" s="22" t="str">
        <f>'Wzorzec kategorii'!B165</f>
        <v>.</v>
      </c>
      <c r="C203" s="19">
        <v>0</v>
      </c>
      <c r="D203" s="20">
        <f>SUM(Tabela2851121[#This Row])</f>
        <v>0</v>
      </c>
      <c r="E203" s="20">
        <f t="shared" si="23"/>
        <v>0</v>
      </c>
      <c r="F203" s="53" t="str">
        <f t="shared" si="24"/>
        <v/>
      </c>
      <c r="G203" s="54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25"/>
      <c r="AO203" s="25"/>
    </row>
    <row r="204" spans="2:41" x14ac:dyDescent="0.2">
      <c r="B204" s="5" t="s">
        <v>30</v>
      </c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</row>
    <row r="205" spans="2:41" x14ac:dyDescent="0.2">
      <c r="B205" s="2" t="str">
        <f>'Wzorzec kategorii'!B167</f>
        <v>Budowanie oszczędności</v>
      </c>
      <c r="C205" s="3">
        <f>SUM(Tabela1640110[[#All],[Kolumna2]])</f>
        <v>0</v>
      </c>
      <c r="D205" s="16">
        <f>SUM(Tabela1640110[[#All],[Kolumna3]])</f>
        <v>0</v>
      </c>
      <c r="E205" s="3">
        <f>C205-D205</f>
        <v>0</v>
      </c>
      <c r="F205" s="17" t="str">
        <f>IFERROR(D205/C205,"")</f>
        <v/>
      </c>
      <c r="G205" s="3"/>
      <c r="I205" s="11" t="s">
        <v>44</v>
      </c>
      <c r="J205" s="11" t="s">
        <v>45</v>
      </c>
      <c r="K205" s="11" t="s">
        <v>46</v>
      </c>
      <c r="L205" s="11" t="s">
        <v>47</v>
      </c>
      <c r="M205" s="11" t="s">
        <v>48</v>
      </c>
      <c r="N205" s="11" t="s">
        <v>49</v>
      </c>
      <c r="O205" s="11" t="s">
        <v>50</v>
      </c>
      <c r="P205" s="11" t="s">
        <v>51</v>
      </c>
      <c r="Q205" s="11" t="s">
        <v>52</v>
      </c>
      <c r="R205" s="11" t="s">
        <v>53</v>
      </c>
      <c r="S205" s="11" t="s">
        <v>54</v>
      </c>
      <c r="T205" s="11" t="s">
        <v>55</v>
      </c>
      <c r="U205" s="11" t="s">
        <v>56</v>
      </c>
      <c r="V205" s="11" t="s">
        <v>57</v>
      </c>
      <c r="W205" s="11" t="s">
        <v>58</v>
      </c>
      <c r="X205" s="11" t="s">
        <v>59</v>
      </c>
      <c r="Y205" s="11" t="s">
        <v>60</v>
      </c>
      <c r="Z205" s="11" t="s">
        <v>61</v>
      </c>
      <c r="AA205" s="11" t="s">
        <v>62</v>
      </c>
      <c r="AB205" s="11" t="s">
        <v>63</v>
      </c>
      <c r="AC205" s="11" t="s">
        <v>64</v>
      </c>
      <c r="AD205" s="11" t="s">
        <v>65</v>
      </c>
      <c r="AE205" s="11" t="s">
        <v>66</v>
      </c>
      <c r="AF205" s="11" t="s">
        <v>67</v>
      </c>
      <c r="AG205" s="11" t="s">
        <v>68</v>
      </c>
      <c r="AH205" s="11" t="s">
        <v>69</v>
      </c>
      <c r="AI205" s="11" t="s">
        <v>70</v>
      </c>
      <c r="AJ205" s="11" t="s">
        <v>71</v>
      </c>
      <c r="AK205" s="11" t="s">
        <v>72</v>
      </c>
      <c r="AL205" s="11" t="s">
        <v>73</v>
      </c>
      <c r="AM205" s="11" t="s">
        <v>74</v>
      </c>
      <c r="AN205" s="25"/>
      <c r="AO205" s="25"/>
    </row>
    <row r="206" spans="2:41" x14ac:dyDescent="0.2">
      <c r="B206" s="22" t="str">
        <f>'Wzorzec kategorii'!B168</f>
        <v>Fundusz awaryjny</v>
      </c>
      <c r="C206" s="19">
        <v>0</v>
      </c>
      <c r="D206" s="20">
        <f>SUM(Tabela192345115[#This Row])</f>
        <v>0</v>
      </c>
      <c r="E206" s="20">
        <f t="shared" ref="E206:E215" si="25">C206-D206</f>
        <v>0</v>
      </c>
      <c r="F206" s="21" t="str">
        <f t="shared" ref="F206:F215" si="26">IFERROR(D206/C206,"")</f>
        <v/>
      </c>
      <c r="G206" s="24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25"/>
      <c r="AO206" s="25"/>
    </row>
    <row r="207" spans="2:41" ht="30" x14ac:dyDescent="0.2">
      <c r="B207" s="22" t="str">
        <f>'Wzorzec kategorii'!B169</f>
        <v>Fundusz wydatków nieregularnych</v>
      </c>
      <c r="C207" s="19">
        <v>0</v>
      </c>
      <c r="D207" s="20">
        <f>SUM(Tabela192345115[#This Row])</f>
        <v>0</v>
      </c>
      <c r="E207" s="20">
        <f t="shared" si="25"/>
        <v>0</v>
      </c>
      <c r="F207" s="21" t="str">
        <f t="shared" si="26"/>
        <v/>
      </c>
      <c r="G207" s="24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25"/>
      <c r="AO207" s="25"/>
    </row>
    <row r="208" spans="2:41" x14ac:dyDescent="0.2">
      <c r="B208" s="22" t="str">
        <f>'Wzorzec kategorii'!B170</f>
        <v>Poduszka finansowa</v>
      </c>
      <c r="C208" s="19">
        <v>0</v>
      </c>
      <c r="D208" s="20">
        <f>SUM(Tabela192345115[#This Row])</f>
        <v>0</v>
      </c>
      <c r="E208" s="20">
        <f t="shared" si="25"/>
        <v>0</v>
      </c>
      <c r="F208" s="21" t="str">
        <f t="shared" si="26"/>
        <v/>
      </c>
      <c r="G208" s="24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25"/>
      <c r="AO208" s="25"/>
    </row>
    <row r="209" spans="2:41" x14ac:dyDescent="0.2">
      <c r="B209" s="22" t="str">
        <f>'Wzorzec kategorii'!B171</f>
        <v>Konto emerytalne IKE/IKZE</v>
      </c>
      <c r="C209" s="19">
        <v>0</v>
      </c>
      <c r="D209" s="20">
        <f>SUM(Tabela192345115[#This Row])</f>
        <v>0</v>
      </c>
      <c r="E209" s="20">
        <f t="shared" si="25"/>
        <v>0</v>
      </c>
      <c r="F209" s="21" t="str">
        <f t="shared" si="26"/>
        <v/>
      </c>
      <c r="G209" s="24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25"/>
      <c r="AO209" s="25"/>
    </row>
    <row r="210" spans="2:41" x14ac:dyDescent="0.2">
      <c r="B210" s="22" t="str">
        <f>'Wzorzec kategorii'!B172</f>
        <v>Nadpłata długów</v>
      </c>
      <c r="C210" s="19">
        <v>0</v>
      </c>
      <c r="D210" s="20">
        <f>SUM(Tabela192345115[#This Row])</f>
        <v>0</v>
      </c>
      <c r="E210" s="20">
        <f t="shared" si="25"/>
        <v>0</v>
      </c>
      <c r="F210" s="21" t="str">
        <f t="shared" si="26"/>
        <v/>
      </c>
      <c r="G210" s="24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25"/>
      <c r="AO210" s="25"/>
    </row>
    <row r="211" spans="2:41" x14ac:dyDescent="0.2">
      <c r="B211" s="22" t="str">
        <f>'Wzorzec kategorii'!B173</f>
        <v>Fundusz: wakacje</v>
      </c>
      <c r="C211" s="19">
        <v>0</v>
      </c>
      <c r="D211" s="20">
        <f>SUM(Tabela192345115[#This Row])</f>
        <v>0</v>
      </c>
      <c r="E211" s="20">
        <f t="shared" si="25"/>
        <v>0</v>
      </c>
      <c r="F211" s="21" t="str">
        <f t="shared" si="26"/>
        <v/>
      </c>
      <c r="G211" s="24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25"/>
      <c r="AO211" s="25"/>
    </row>
    <row r="212" spans="2:41" x14ac:dyDescent="0.2">
      <c r="B212" s="22" t="str">
        <f>'Wzorzec kategorii'!B174</f>
        <v>Fundusz: prezenty świąteczne</v>
      </c>
      <c r="C212" s="19">
        <v>0</v>
      </c>
      <c r="D212" s="20">
        <f>SUM(Tabela192345115[#This Row])</f>
        <v>0</v>
      </c>
      <c r="E212" s="20">
        <f t="shared" si="25"/>
        <v>0</v>
      </c>
      <c r="F212" s="21" t="str">
        <f t="shared" si="26"/>
        <v/>
      </c>
      <c r="G212" s="24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25"/>
      <c r="AO212" s="25"/>
    </row>
    <row r="213" spans="2:41" x14ac:dyDescent="0.2">
      <c r="B213" s="22" t="str">
        <f>'Wzorzec kategorii'!B175</f>
        <v>Inne</v>
      </c>
      <c r="C213" s="19">
        <v>0</v>
      </c>
      <c r="D213" s="20">
        <f>SUM(Tabela192345115[#This Row])</f>
        <v>0</v>
      </c>
      <c r="E213" s="20">
        <f t="shared" si="25"/>
        <v>0</v>
      </c>
      <c r="F213" s="21" t="str">
        <f t="shared" si="26"/>
        <v/>
      </c>
      <c r="G213" s="24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25"/>
      <c r="AO213" s="25"/>
    </row>
    <row r="214" spans="2:41" x14ac:dyDescent="0.2">
      <c r="B214" s="22" t="str">
        <f>'Wzorzec kategorii'!B176</f>
        <v>.</v>
      </c>
      <c r="C214" s="19">
        <v>0</v>
      </c>
      <c r="D214" s="20">
        <f>SUM(Tabela192345115[#This Row])</f>
        <v>0</v>
      </c>
      <c r="E214" s="20">
        <f t="shared" si="25"/>
        <v>0</v>
      </c>
      <c r="F214" s="53" t="str">
        <f t="shared" si="26"/>
        <v/>
      </c>
      <c r="G214" s="54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25"/>
      <c r="AO214" s="25"/>
    </row>
    <row r="215" spans="2:41" x14ac:dyDescent="0.2">
      <c r="B215" s="22" t="str">
        <f>'Wzorzec kategorii'!B177</f>
        <v>.</v>
      </c>
      <c r="C215" s="19">
        <v>0</v>
      </c>
      <c r="D215" s="20">
        <f>SUM(Tabela192345115[#This Row])</f>
        <v>0</v>
      </c>
      <c r="E215" s="20">
        <f t="shared" si="25"/>
        <v>0</v>
      </c>
      <c r="F215" s="53" t="str">
        <f t="shared" si="26"/>
        <v/>
      </c>
      <c r="G215" s="54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25"/>
      <c r="AO215" s="25"/>
    </row>
    <row r="216" spans="2:41" x14ac:dyDescent="0.2"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</row>
    <row r="217" spans="2:41" x14ac:dyDescent="0.2">
      <c r="B217" s="2" t="str">
        <f>'Wzorzec kategorii'!B179</f>
        <v>INNE 1</v>
      </c>
      <c r="C217" s="3">
        <f>SUM(Tabela164058122[[#All],[Kolumna2]])</f>
        <v>0</v>
      </c>
      <c r="D217" s="16">
        <f>SUM(Tabela164058122[[#All],[Kolumna3]])</f>
        <v>0</v>
      </c>
      <c r="E217" s="3">
        <f>C217-D217</f>
        <v>0</v>
      </c>
      <c r="F217" s="17" t="str">
        <f>IFERROR(D217/C217,"")</f>
        <v/>
      </c>
      <c r="G217" s="3"/>
      <c r="I217" s="11" t="s">
        <v>44</v>
      </c>
      <c r="J217" s="11" t="s">
        <v>45</v>
      </c>
      <c r="K217" s="11" t="s">
        <v>46</v>
      </c>
      <c r="L217" s="11" t="s">
        <v>47</v>
      </c>
      <c r="M217" s="11" t="s">
        <v>48</v>
      </c>
      <c r="N217" s="11" t="s">
        <v>49</v>
      </c>
      <c r="O217" s="11" t="s">
        <v>50</v>
      </c>
      <c r="P217" s="11" t="s">
        <v>51</v>
      </c>
      <c r="Q217" s="11" t="s">
        <v>52</v>
      </c>
      <c r="R217" s="11" t="s">
        <v>53</v>
      </c>
      <c r="S217" s="11" t="s">
        <v>54</v>
      </c>
      <c r="T217" s="11" t="s">
        <v>55</v>
      </c>
      <c r="U217" s="11" t="s">
        <v>56</v>
      </c>
      <c r="V217" s="11" t="s">
        <v>57</v>
      </c>
      <c r="W217" s="11" t="s">
        <v>58</v>
      </c>
      <c r="X217" s="11" t="s">
        <v>59</v>
      </c>
      <c r="Y217" s="11" t="s">
        <v>60</v>
      </c>
      <c r="Z217" s="11" t="s">
        <v>61</v>
      </c>
      <c r="AA217" s="11" t="s">
        <v>62</v>
      </c>
      <c r="AB217" s="11" t="s">
        <v>63</v>
      </c>
      <c r="AC217" s="11" t="s">
        <v>64</v>
      </c>
      <c r="AD217" s="11" t="s">
        <v>65</v>
      </c>
      <c r="AE217" s="11" t="s">
        <v>66</v>
      </c>
      <c r="AF217" s="11" t="s">
        <v>67</v>
      </c>
      <c r="AG217" s="11" t="s">
        <v>68</v>
      </c>
      <c r="AH217" s="11" t="s">
        <v>69</v>
      </c>
      <c r="AI217" s="11" t="s">
        <v>70</v>
      </c>
      <c r="AJ217" s="11" t="s">
        <v>71</v>
      </c>
      <c r="AK217" s="11" t="s">
        <v>72</v>
      </c>
      <c r="AL217" s="11" t="s">
        <v>73</v>
      </c>
      <c r="AM217" s="11" t="s">
        <v>74</v>
      </c>
    </row>
    <row r="218" spans="2:41" x14ac:dyDescent="0.2">
      <c r="B218" s="22" t="str">
        <f>'Wzorzec kategorii'!B180</f>
        <v>.</v>
      </c>
      <c r="C218" s="19">
        <v>0</v>
      </c>
      <c r="D218" s="20">
        <f>SUM(Tabela19234559123[#This Row])</f>
        <v>0</v>
      </c>
      <c r="E218" s="20">
        <f t="shared" ref="E218:E227" si="27">C218-D218</f>
        <v>0</v>
      </c>
      <c r="F218" s="21" t="str">
        <f t="shared" ref="F218:F227" si="28">IFERROR(D218/C218,"")</f>
        <v/>
      </c>
      <c r="G218" s="24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2:41" x14ac:dyDescent="0.2">
      <c r="B219" s="22" t="str">
        <f>'Wzorzec kategorii'!B181</f>
        <v>.</v>
      </c>
      <c r="C219" s="19">
        <v>0</v>
      </c>
      <c r="D219" s="20">
        <f>SUM(Tabela19234559123[#This Row])</f>
        <v>0</v>
      </c>
      <c r="E219" s="20">
        <f t="shared" si="27"/>
        <v>0</v>
      </c>
      <c r="F219" s="21" t="str">
        <f t="shared" si="28"/>
        <v/>
      </c>
      <c r="G219" s="24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 spans="2:41" x14ac:dyDescent="0.2">
      <c r="B220" s="22" t="str">
        <f>'Wzorzec kategorii'!B182</f>
        <v>.</v>
      </c>
      <c r="C220" s="19">
        <v>0</v>
      </c>
      <c r="D220" s="20">
        <f>SUM(Tabela19234559123[#This Row])</f>
        <v>0</v>
      </c>
      <c r="E220" s="20">
        <f t="shared" si="27"/>
        <v>0</v>
      </c>
      <c r="F220" s="21" t="str">
        <f t="shared" si="28"/>
        <v/>
      </c>
      <c r="G220" s="24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 spans="2:41" x14ac:dyDescent="0.2">
      <c r="B221" s="22" t="str">
        <f>'Wzorzec kategorii'!B183</f>
        <v>.</v>
      </c>
      <c r="C221" s="19">
        <v>0</v>
      </c>
      <c r="D221" s="20">
        <f>SUM(Tabela19234559123[#This Row])</f>
        <v>0</v>
      </c>
      <c r="E221" s="20">
        <f t="shared" si="27"/>
        <v>0</v>
      </c>
      <c r="F221" s="21" t="str">
        <f t="shared" si="28"/>
        <v/>
      </c>
      <c r="G221" s="24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 spans="2:41" x14ac:dyDescent="0.2">
      <c r="B222" s="22" t="str">
        <f>'Wzorzec kategorii'!B184</f>
        <v>.</v>
      </c>
      <c r="C222" s="19">
        <v>0</v>
      </c>
      <c r="D222" s="20">
        <f>SUM(Tabela19234559123[#This Row])</f>
        <v>0</v>
      </c>
      <c r="E222" s="20">
        <f t="shared" si="27"/>
        <v>0</v>
      </c>
      <c r="F222" s="21" t="str">
        <f t="shared" si="28"/>
        <v/>
      </c>
      <c r="G222" s="24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</row>
    <row r="223" spans="2:41" x14ac:dyDescent="0.2">
      <c r="B223" s="22" t="str">
        <f>'Wzorzec kategorii'!B185</f>
        <v>.</v>
      </c>
      <c r="C223" s="19">
        <v>0</v>
      </c>
      <c r="D223" s="20">
        <f>SUM(Tabela19234559123[#This Row])</f>
        <v>0</v>
      </c>
      <c r="E223" s="20">
        <f t="shared" si="27"/>
        <v>0</v>
      </c>
      <c r="F223" s="21" t="str">
        <f t="shared" si="28"/>
        <v/>
      </c>
      <c r="G223" s="24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</row>
    <row r="224" spans="2:41" x14ac:dyDescent="0.2">
      <c r="B224" s="22" t="str">
        <f>'Wzorzec kategorii'!B186</f>
        <v>.</v>
      </c>
      <c r="C224" s="19">
        <v>0</v>
      </c>
      <c r="D224" s="20">
        <f>SUM(Tabela19234559123[#This Row])</f>
        <v>0</v>
      </c>
      <c r="E224" s="20">
        <f t="shared" si="27"/>
        <v>0</v>
      </c>
      <c r="F224" s="21" t="str">
        <f t="shared" si="28"/>
        <v/>
      </c>
      <c r="G224" s="24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2:39" x14ac:dyDescent="0.2">
      <c r="B225" s="22" t="str">
        <f>'Wzorzec kategorii'!B187</f>
        <v>.</v>
      </c>
      <c r="C225" s="19">
        <v>0</v>
      </c>
      <c r="D225" s="20">
        <f>SUM(Tabela19234559123[#This Row])</f>
        <v>0</v>
      </c>
      <c r="E225" s="20">
        <f t="shared" si="27"/>
        <v>0</v>
      </c>
      <c r="F225" s="21" t="str">
        <f t="shared" si="28"/>
        <v/>
      </c>
      <c r="G225" s="24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 spans="2:39" x14ac:dyDescent="0.2">
      <c r="B226" s="22" t="str">
        <f>'Wzorzec kategorii'!B188</f>
        <v>.</v>
      </c>
      <c r="C226" s="19">
        <v>0</v>
      </c>
      <c r="D226" s="20">
        <f>SUM(Tabela19234559123[#This Row])</f>
        <v>0</v>
      </c>
      <c r="E226" s="20">
        <f t="shared" si="27"/>
        <v>0</v>
      </c>
      <c r="F226" s="53" t="str">
        <f t="shared" si="28"/>
        <v/>
      </c>
      <c r="G226" s="54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</row>
    <row r="227" spans="2:39" x14ac:dyDescent="0.2">
      <c r="B227" s="22" t="str">
        <f>'Wzorzec kategorii'!B189</f>
        <v>.</v>
      </c>
      <c r="C227" s="19">
        <v>0</v>
      </c>
      <c r="D227" s="20">
        <f>SUM(Tabela19234559123[#This Row])</f>
        <v>0</v>
      </c>
      <c r="E227" s="20">
        <f t="shared" si="27"/>
        <v>0</v>
      </c>
      <c r="F227" s="53" t="str">
        <f t="shared" si="28"/>
        <v/>
      </c>
      <c r="G227" s="54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</row>
    <row r="228" spans="2:39" x14ac:dyDescent="0.2"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</row>
    <row r="229" spans="2:39" x14ac:dyDescent="0.2">
      <c r="B229" s="2" t="str">
        <f>'Wzorzec kategorii'!B191</f>
        <v>INNE 2</v>
      </c>
      <c r="C229" s="3">
        <f>SUM(Tabela16405860124[[#All],[Kolumna2]])</f>
        <v>0</v>
      </c>
      <c r="D229" s="16">
        <f>SUM(Tabela16405860124[[#All],[Kolumna3]])</f>
        <v>0</v>
      </c>
      <c r="E229" s="3">
        <f>C229-D229</f>
        <v>0</v>
      </c>
      <c r="F229" s="17" t="str">
        <f>IFERROR(D229/C229,"")</f>
        <v/>
      </c>
      <c r="G229" s="3"/>
      <c r="I229" s="11" t="s">
        <v>44</v>
      </c>
      <c r="J229" s="11" t="s">
        <v>45</v>
      </c>
      <c r="K229" s="11" t="s">
        <v>46</v>
      </c>
      <c r="L229" s="11" t="s">
        <v>47</v>
      </c>
      <c r="M229" s="11" t="s">
        <v>48</v>
      </c>
      <c r="N229" s="11" t="s">
        <v>49</v>
      </c>
      <c r="O229" s="11" t="s">
        <v>50</v>
      </c>
      <c r="P229" s="11" t="s">
        <v>51</v>
      </c>
      <c r="Q229" s="11" t="s">
        <v>52</v>
      </c>
      <c r="R229" s="11" t="s">
        <v>53</v>
      </c>
      <c r="S229" s="11" t="s">
        <v>54</v>
      </c>
      <c r="T229" s="11" t="s">
        <v>55</v>
      </c>
      <c r="U229" s="11" t="s">
        <v>56</v>
      </c>
      <c r="V229" s="11" t="s">
        <v>57</v>
      </c>
      <c r="W229" s="11" t="s">
        <v>58</v>
      </c>
      <c r="X229" s="11" t="s">
        <v>59</v>
      </c>
      <c r="Y229" s="11" t="s">
        <v>60</v>
      </c>
      <c r="Z229" s="11" t="s">
        <v>61</v>
      </c>
      <c r="AA229" s="11" t="s">
        <v>62</v>
      </c>
      <c r="AB229" s="11" t="s">
        <v>63</v>
      </c>
      <c r="AC229" s="11" t="s">
        <v>64</v>
      </c>
      <c r="AD229" s="11" t="s">
        <v>65</v>
      </c>
      <c r="AE229" s="11" t="s">
        <v>66</v>
      </c>
      <c r="AF229" s="11" t="s">
        <v>67</v>
      </c>
      <c r="AG229" s="11" t="s">
        <v>68</v>
      </c>
      <c r="AH229" s="11" t="s">
        <v>69</v>
      </c>
      <c r="AI229" s="11" t="s">
        <v>70</v>
      </c>
      <c r="AJ229" s="11" t="s">
        <v>71</v>
      </c>
      <c r="AK229" s="11" t="s">
        <v>72</v>
      </c>
      <c r="AL229" s="11" t="s">
        <v>73</v>
      </c>
      <c r="AM229" s="11" t="s">
        <v>74</v>
      </c>
    </row>
    <row r="230" spans="2:39" x14ac:dyDescent="0.2">
      <c r="B230" s="22" t="str">
        <f>'Wzorzec kategorii'!B192</f>
        <v>.</v>
      </c>
      <c r="C230" s="19">
        <v>0</v>
      </c>
      <c r="D230" s="20">
        <f>SUM(Tabela1923455962126[#This Row])</f>
        <v>0</v>
      </c>
      <c r="E230" s="20">
        <f t="shared" ref="E230:E239" si="29">C230-D230</f>
        <v>0</v>
      </c>
      <c r="F230" s="21" t="str">
        <f t="shared" ref="F230:F239" si="30">IFERROR(D230/C230,"")</f>
        <v/>
      </c>
      <c r="G230" s="24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2:39" x14ac:dyDescent="0.2">
      <c r="B231" s="22" t="str">
        <f>'Wzorzec kategorii'!B193</f>
        <v>.</v>
      </c>
      <c r="C231" s="19">
        <v>0</v>
      </c>
      <c r="D231" s="20">
        <f>SUM(Tabela1923455962126[#This Row])</f>
        <v>0</v>
      </c>
      <c r="E231" s="20">
        <f t="shared" si="29"/>
        <v>0</v>
      </c>
      <c r="F231" s="21" t="str">
        <f t="shared" si="30"/>
        <v/>
      </c>
      <c r="G231" s="24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 spans="2:39" x14ac:dyDescent="0.2">
      <c r="B232" s="22" t="str">
        <f>'Wzorzec kategorii'!B194</f>
        <v>.</v>
      </c>
      <c r="C232" s="19">
        <v>0</v>
      </c>
      <c r="D232" s="20">
        <f>SUM(Tabela1923455962126[#This Row])</f>
        <v>0</v>
      </c>
      <c r="E232" s="20">
        <f t="shared" si="29"/>
        <v>0</v>
      </c>
      <c r="F232" s="21" t="str">
        <f t="shared" si="30"/>
        <v/>
      </c>
      <c r="G232" s="24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</row>
    <row r="233" spans="2:39" x14ac:dyDescent="0.2">
      <c r="B233" s="22" t="str">
        <f>'Wzorzec kategorii'!B195</f>
        <v>.</v>
      </c>
      <c r="C233" s="19">
        <v>0</v>
      </c>
      <c r="D233" s="20">
        <f>SUM(Tabela1923455962126[#This Row])</f>
        <v>0</v>
      </c>
      <c r="E233" s="20">
        <f t="shared" si="29"/>
        <v>0</v>
      </c>
      <c r="F233" s="21" t="str">
        <f t="shared" si="30"/>
        <v/>
      </c>
      <c r="G233" s="24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2:39" x14ac:dyDescent="0.2">
      <c r="B234" s="22" t="str">
        <f>'Wzorzec kategorii'!B196</f>
        <v>.</v>
      </c>
      <c r="C234" s="19">
        <v>0</v>
      </c>
      <c r="D234" s="20">
        <f>SUM(Tabela1923455962126[#This Row])</f>
        <v>0</v>
      </c>
      <c r="E234" s="20">
        <f t="shared" si="29"/>
        <v>0</v>
      </c>
      <c r="F234" s="21" t="str">
        <f t="shared" si="30"/>
        <v/>
      </c>
      <c r="G234" s="24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 spans="2:39" x14ac:dyDescent="0.2">
      <c r="B235" s="22" t="str">
        <f>'Wzorzec kategorii'!B197</f>
        <v>.</v>
      </c>
      <c r="C235" s="19">
        <v>0</v>
      </c>
      <c r="D235" s="20">
        <f>SUM(Tabela1923455962126[#This Row])</f>
        <v>0</v>
      </c>
      <c r="E235" s="20">
        <f t="shared" si="29"/>
        <v>0</v>
      </c>
      <c r="F235" s="21" t="str">
        <f t="shared" si="30"/>
        <v/>
      </c>
      <c r="G235" s="24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 spans="2:39" x14ac:dyDescent="0.2">
      <c r="B236" s="22" t="str">
        <f>'Wzorzec kategorii'!B198</f>
        <v>.</v>
      </c>
      <c r="C236" s="19">
        <v>0</v>
      </c>
      <c r="D236" s="20">
        <f>SUM(Tabela1923455962126[#This Row])</f>
        <v>0</v>
      </c>
      <c r="E236" s="20">
        <f t="shared" si="29"/>
        <v>0</v>
      </c>
      <c r="F236" s="21" t="str">
        <f t="shared" si="30"/>
        <v/>
      </c>
      <c r="G236" s="24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 spans="2:39" x14ac:dyDescent="0.2">
      <c r="B237" s="22" t="str">
        <f>'Wzorzec kategorii'!B199</f>
        <v>.</v>
      </c>
      <c r="C237" s="19">
        <v>0</v>
      </c>
      <c r="D237" s="20">
        <f>SUM(Tabela1923455962126[#This Row])</f>
        <v>0</v>
      </c>
      <c r="E237" s="20">
        <f t="shared" si="29"/>
        <v>0</v>
      </c>
      <c r="F237" s="21" t="str">
        <f t="shared" si="30"/>
        <v/>
      </c>
      <c r="G237" s="24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 spans="2:39" x14ac:dyDescent="0.2">
      <c r="B238" s="22" t="str">
        <f>'Wzorzec kategorii'!B200</f>
        <v>.</v>
      </c>
      <c r="C238" s="19">
        <v>0</v>
      </c>
      <c r="D238" s="20">
        <f>SUM(Tabela1923455962126[#This Row])</f>
        <v>0</v>
      </c>
      <c r="E238" s="20">
        <f t="shared" si="29"/>
        <v>0</v>
      </c>
      <c r="F238" s="53" t="str">
        <f t="shared" si="30"/>
        <v/>
      </c>
      <c r="G238" s="54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</row>
    <row r="239" spans="2:39" x14ac:dyDescent="0.2">
      <c r="B239" s="22" t="str">
        <f>'Wzorzec kategorii'!B201</f>
        <v>.</v>
      </c>
      <c r="C239" s="19">
        <v>0</v>
      </c>
      <c r="D239" s="20">
        <f>SUM(Tabela1923455962126[#This Row])</f>
        <v>0</v>
      </c>
      <c r="E239" s="20">
        <f t="shared" si="29"/>
        <v>0</v>
      </c>
      <c r="F239" s="53" t="str">
        <f t="shared" si="30"/>
        <v/>
      </c>
      <c r="G239" s="54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</row>
    <row r="240" spans="2:39" x14ac:dyDescent="0.2"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</row>
    <row r="241" spans="2:39" x14ac:dyDescent="0.2">
      <c r="B241" s="2" t="str">
        <f>'Wzorzec kategorii'!B203</f>
        <v>INNE 3</v>
      </c>
      <c r="C241" s="3">
        <f>SUM(Tabela1640586061125[[#All],[Kolumna2]])</f>
        <v>0</v>
      </c>
      <c r="D241" s="16">
        <f>SUM(Tabela1640586061125[[#All],[Kolumna3]])</f>
        <v>0</v>
      </c>
      <c r="E241" s="3">
        <f>C241-D241</f>
        <v>0</v>
      </c>
      <c r="F241" s="17" t="str">
        <f>IFERROR(D241/C241,"")</f>
        <v/>
      </c>
      <c r="G241" s="3"/>
      <c r="I241" s="11" t="s">
        <v>44</v>
      </c>
      <c r="J241" s="11" t="s">
        <v>45</v>
      </c>
      <c r="K241" s="11" t="s">
        <v>46</v>
      </c>
      <c r="L241" s="11" t="s">
        <v>47</v>
      </c>
      <c r="M241" s="11" t="s">
        <v>48</v>
      </c>
      <c r="N241" s="11" t="s">
        <v>49</v>
      </c>
      <c r="O241" s="11" t="s">
        <v>50</v>
      </c>
      <c r="P241" s="11" t="s">
        <v>51</v>
      </c>
      <c r="Q241" s="11" t="s">
        <v>52</v>
      </c>
      <c r="R241" s="11" t="s">
        <v>53</v>
      </c>
      <c r="S241" s="11" t="s">
        <v>54</v>
      </c>
      <c r="T241" s="11" t="s">
        <v>55</v>
      </c>
      <c r="U241" s="11" t="s">
        <v>56</v>
      </c>
      <c r="V241" s="11" t="s">
        <v>57</v>
      </c>
      <c r="W241" s="11" t="s">
        <v>58</v>
      </c>
      <c r="X241" s="11" t="s">
        <v>59</v>
      </c>
      <c r="Y241" s="11" t="s">
        <v>60</v>
      </c>
      <c r="Z241" s="11" t="s">
        <v>61</v>
      </c>
      <c r="AA241" s="11" t="s">
        <v>62</v>
      </c>
      <c r="AB241" s="11" t="s">
        <v>63</v>
      </c>
      <c r="AC241" s="11" t="s">
        <v>64</v>
      </c>
      <c r="AD241" s="11" t="s">
        <v>65</v>
      </c>
      <c r="AE241" s="11" t="s">
        <v>66</v>
      </c>
      <c r="AF241" s="11" t="s">
        <v>67</v>
      </c>
      <c r="AG241" s="11" t="s">
        <v>68</v>
      </c>
      <c r="AH241" s="11" t="s">
        <v>69</v>
      </c>
      <c r="AI241" s="11" t="s">
        <v>70</v>
      </c>
      <c r="AJ241" s="11" t="s">
        <v>71</v>
      </c>
      <c r="AK241" s="11" t="s">
        <v>72</v>
      </c>
      <c r="AL241" s="11" t="s">
        <v>73</v>
      </c>
      <c r="AM241" s="11" t="s">
        <v>74</v>
      </c>
    </row>
    <row r="242" spans="2:39" x14ac:dyDescent="0.2">
      <c r="B242" s="22" t="str">
        <f>'Wzorzec kategorii'!B204</f>
        <v>.</v>
      </c>
      <c r="C242" s="19">
        <v>0</v>
      </c>
      <c r="D242" s="20">
        <f>SUM(Tabela1923455963127[#This Row])</f>
        <v>0</v>
      </c>
      <c r="E242" s="20">
        <f t="shared" ref="E242:E251" si="31">C242-D242</f>
        <v>0</v>
      </c>
      <c r="F242" s="21" t="str">
        <f t="shared" ref="F242:F251" si="32">IFERROR(D242/C242,"")</f>
        <v/>
      </c>
      <c r="G242" s="24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2:39" x14ac:dyDescent="0.2">
      <c r="B243" s="22" t="str">
        <f>'Wzorzec kategorii'!B205</f>
        <v>.</v>
      </c>
      <c r="C243" s="19">
        <v>0</v>
      </c>
      <c r="D243" s="20">
        <f>SUM(Tabela1923455963127[#This Row])</f>
        <v>0</v>
      </c>
      <c r="E243" s="20">
        <f t="shared" si="31"/>
        <v>0</v>
      </c>
      <c r="F243" s="21" t="str">
        <f t="shared" si="32"/>
        <v/>
      </c>
      <c r="G243" s="24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 spans="2:39" x14ac:dyDescent="0.2">
      <c r="B244" s="22" t="str">
        <f>'Wzorzec kategorii'!B206</f>
        <v>.</v>
      </c>
      <c r="C244" s="19">
        <v>0</v>
      </c>
      <c r="D244" s="20">
        <f>SUM(Tabela1923455963127[#This Row])</f>
        <v>0</v>
      </c>
      <c r="E244" s="20">
        <f t="shared" si="31"/>
        <v>0</v>
      </c>
      <c r="F244" s="21" t="str">
        <f t="shared" si="32"/>
        <v/>
      </c>
      <c r="G244" s="24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 spans="2:39" x14ac:dyDescent="0.2">
      <c r="B245" s="22" t="str">
        <f>'Wzorzec kategorii'!B207</f>
        <v>.</v>
      </c>
      <c r="C245" s="19">
        <v>0</v>
      </c>
      <c r="D245" s="20">
        <f>SUM(Tabela1923455963127[#This Row])</f>
        <v>0</v>
      </c>
      <c r="E245" s="20">
        <f t="shared" si="31"/>
        <v>0</v>
      </c>
      <c r="F245" s="21" t="str">
        <f t="shared" si="32"/>
        <v/>
      </c>
      <c r="G245" s="24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2:39" x14ac:dyDescent="0.2">
      <c r="B246" s="22" t="str">
        <f>'Wzorzec kategorii'!B208</f>
        <v>.</v>
      </c>
      <c r="C246" s="19">
        <v>0</v>
      </c>
      <c r="D246" s="20">
        <f>SUM(Tabela1923455963127[#This Row])</f>
        <v>0</v>
      </c>
      <c r="E246" s="20">
        <f t="shared" si="31"/>
        <v>0</v>
      </c>
      <c r="F246" s="21" t="str">
        <f t="shared" si="32"/>
        <v/>
      </c>
      <c r="G246" s="24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 spans="2:39" x14ac:dyDescent="0.2">
      <c r="B247" s="22" t="str">
        <f>'Wzorzec kategorii'!B209</f>
        <v>.</v>
      </c>
      <c r="C247" s="19">
        <v>0</v>
      </c>
      <c r="D247" s="20">
        <f>SUM(Tabela1923455963127[#This Row])</f>
        <v>0</v>
      </c>
      <c r="E247" s="20">
        <f t="shared" si="31"/>
        <v>0</v>
      </c>
      <c r="F247" s="21" t="str">
        <f t="shared" si="32"/>
        <v/>
      </c>
      <c r="G247" s="24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</row>
    <row r="248" spans="2:39" x14ac:dyDescent="0.2">
      <c r="B248" s="22" t="str">
        <f>'Wzorzec kategorii'!B210</f>
        <v>.</v>
      </c>
      <c r="C248" s="19">
        <v>0</v>
      </c>
      <c r="D248" s="20">
        <f>SUM(Tabela1923455963127[#This Row])</f>
        <v>0</v>
      </c>
      <c r="E248" s="20">
        <f t="shared" si="31"/>
        <v>0</v>
      </c>
      <c r="F248" s="21" t="str">
        <f t="shared" si="32"/>
        <v/>
      </c>
      <c r="G248" s="24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 spans="2:39" x14ac:dyDescent="0.2">
      <c r="B249" s="22" t="str">
        <f>'Wzorzec kategorii'!B211</f>
        <v>.</v>
      </c>
      <c r="C249" s="19">
        <v>0</v>
      </c>
      <c r="D249" s="20">
        <f>SUM(Tabela1923455963127[#This Row])</f>
        <v>0</v>
      </c>
      <c r="E249" s="20">
        <f t="shared" si="31"/>
        <v>0</v>
      </c>
      <c r="F249" s="21" t="str">
        <f t="shared" si="32"/>
        <v/>
      </c>
      <c r="G249" s="24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 spans="2:39" x14ac:dyDescent="0.2">
      <c r="B250" s="22" t="str">
        <f>'Wzorzec kategorii'!B212</f>
        <v>.</v>
      </c>
      <c r="C250" s="19">
        <v>0</v>
      </c>
      <c r="D250" s="20">
        <f>SUM(Tabela1923455963127[#This Row])</f>
        <v>0</v>
      </c>
      <c r="E250" s="20">
        <f t="shared" si="31"/>
        <v>0</v>
      </c>
      <c r="F250" s="53" t="str">
        <f t="shared" si="32"/>
        <v/>
      </c>
      <c r="G250" s="54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</row>
    <row r="251" spans="2:39" x14ac:dyDescent="0.2">
      <c r="B251" s="22" t="str">
        <f>'Wzorzec kategorii'!B213</f>
        <v>.</v>
      </c>
      <c r="C251" s="19">
        <v>0</v>
      </c>
      <c r="D251" s="20">
        <f>SUM(Tabela1923455963127[#This Row])</f>
        <v>0</v>
      </c>
      <c r="E251" s="20">
        <f t="shared" si="31"/>
        <v>0</v>
      </c>
      <c r="F251" s="53" t="str">
        <f t="shared" si="32"/>
        <v/>
      </c>
      <c r="G251" s="54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</row>
    <row r="252" spans="2:39" x14ac:dyDescent="0.2"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</row>
    <row r="253" spans="2:39" ht="30" x14ac:dyDescent="0.2">
      <c r="C253" s="9" t="s">
        <v>131</v>
      </c>
      <c r="D253" s="10" t="s">
        <v>135</v>
      </c>
      <c r="E253" s="8" t="s">
        <v>129</v>
      </c>
      <c r="I253" s="9" t="s">
        <v>44</v>
      </c>
      <c r="J253" s="9" t="s">
        <v>45</v>
      </c>
      <c r="K253" s="9" t="s">
        <v>46</v>
      </c>
      <c r="L253" s="9" t="s">
        <v>47</v>
      </c>
      <c r="M253" s="9" t="s">
        <v>48</v>
      </c>
      <c r="N253" s="9" t="s">
        <v>49</v>
      </c>
      <c r="O253" s="9" t="s">
        <v>50</v>
      </c>
      <c r="P253" s="9" t="s">
        <v>51</v>
      </c>
      <c r="Q253" s="9" t="s">
        <v>52</v>
      </c>
      <c r="R253" s="9" t="s">
        <v>53</v>
      </c>
      <c r="S253" s="9" t="s">
        <v>54</v>
      </c>
      <c r="T253" s="9" t="s">
        <v>55</v>
      </c>
      <c r="U253" s="9" t="s">
        <v>56</v>
      </c>
      <c r="V253" s="9" t="s">
        <v>57</v>
      </c>
      <c r="W253" s="9" t="s">
        <v>58</v>
      </c>
      <c r="X253" s="9" t="s">
        <v>59</v>
      </c>
      <c r="Y253" s="9" t="s">
        <v>60</v>
      </c>
      <c r="Z253" s="9" t="s">
        <v>61</v>
      </c>
      <c r="AA253" s="9" t="s">
        <v>62</v>
      </c>
      <c r="AB253" s="9" t="s">
        <v>63</v>
      </c>
      <c r="AC253" s="9" t="s">
        <v>64</v>
      </c>
      <c r="AD253" s="9" t="s">
        <v>65</v>
      </c>
      <c r="AE253" s="9" t="s">
        <v>66</v>
      </c>
      <c r="AF253" s="9" t="s">
        <v>67</v>
      </c>
      <c r="AG253" s="9" t="s">
        <v>68</v>
      </c>
      <c r="AH253" s="9" t="s">
        <v>69</v>
      </c>
      <c r="AI253" s="9" t="s">
        <v>70</v>
      </c>
      <c r="AJ253" s="9" t="s">
        <v>71</v>
      </c>
      <c r="AK253" s="9" t="s">
        <v>72</v>
      </c>
      <c r="AL253" s="9" t="s">
        <v>73</v>
      </c>
      <c r="AM253" s="9" t="s">
        <v>74</v>
      </c>
    </row>
    <row r="254" spans="2:39" ht="22" customHeight="1" x14ac:dyDescent="0.2">
      <c r="B254" s="39" t="s">
        <v>31</v>
      </c>
      <c r="C254" s="40">
        <f>C71</f>
        <v>0</v>
      </c>
      <c r="D254" s="40">
        <f>D71</f>
        <v>0</v>
      </c>
      <c r="E254" s="40">
        <f>C254-D254</f>
        <v>0</v>
      </c>
      <c r="G254" s="39" t="s">
        <v>126</v>
      </c>
      <c r="I254" s="43">
        <f>SUM(I73:I251)</f>
        <v>0</v>
      </c>
      <c r="J254" s="43">
        <f>SUM(J73:J251)</f>
        <v>0</v>
      </c>
      <c r="K254" s="43">
        <f>SUM(K73:K251)</f>
        <v>0</v>
      </c>
      <c r="L254" s="43">
        <f t="shared" ref="L254:AM254" si="33">SUM(L73:L251)</f>
        <v>0</v>
      </c>
      <c r="M254" s="43">
        <f t="shared" si="33"/>
        <v>0</v>
      </c>
      <c r="N254" s="43">
        <f t="shared" si="33"/>
        <v>0</v>
      </c>
      <c r="O254" s="43">
        <f t="shared" si="33"/>
        <v>0</v>
      </c>
      <c r="P254" s="43">
        <f t="shared" si="33"/>
        <v>0</v>
      </c>
      <c r="Q254" s="43">
        <f t="shared" si="33"/>
        <v>0</v>
      </c>
      <c r="R254" s="43">
        <f t="shared" si="33"/>
        <v>0</v>
      </c>
      <c r="S254" s="43">
        <f t="shared" si="33"/>
        <v>0</v>
      </c>
      <c r="T254" s="43">
        <f t="shared" si="33"/>
        <v>0</v>
      </c>
      <c r="U254" s="43">
        <f t="shared" si="33"/>
        <v>0</v>
      </c>
      <c r="V254" s="43">
        <f t="shared" si="33"/>
        <v>0</v>
      </c>
      <c r="W254" s="43">
        <f t="shared" si="33"/>
        <v>0</v>
      </c>
      <c r="X254" s="43">
        <f t="shared" si="33"/>
        <v>0</v>
      </c>
      <c r="Y254" s="43">
        <f t="shared" si="33"/>
        <v>0</v>
      </c>
      <c r="Z254" s="43">
        <f t="shared" si="33"/>
        <v>0</v>
      </c>
      <c r="AA254" s="43">
        <f t="shared" si="33"/>
        <v>0</v>
      </c>
      <c r="AB254" s="43">
        <f t="shared" si="33"/>
        <v>0</v>
      </c>
      <c r="AC254" s="43">
        <f t="shared" si="33"/>
        <v>0</v>
      </c>
      <c r="AD254" s="43">
        <f t="shared" si="33"/>
        <v>0</v>
      </c>
      <c r="AE254" s="43">
        <f t="shared" si="33"/>
        <v>0</v>
      </c>
      <c r="AF254" s="43">
        <f t="shared" si="33"/>
        <v>0</v>
      </c>
      <c r="AG254" s="43">
        <f t="shared" si="33"/>
        <v>0</v>
      </c>
      <c r="AH254" s="43">
        <f t="shared" si="33"/>
        <v>0</v>
      </c>
      <c r="AI254" s="43">
        <f t="shared" si="33"/>
        <v>0</v>
      </c>
      <c r="AJ254" s="43">
        <f t="shared" si="33"/>
        <v>0</v>
      </c>
      <c r="AK254" s="43">
        <f t="shared" si="33"/>
        <v>0</v>
      </c>
      <c r="AL254" s="43">
        <f t="shared" si="33"/>
        <v>0</v>
      </c>
      <c r="AM254" s="43">
        <f t="shared" si="33"/>
        <v>0</v>
      </c>
    </row>
    <row r="255" spans="2:39" x14ac:dyDescent="0.2"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</row>
  </sheetData>
  <mergeCells count="27">
    <mergeCell ref="B12:C12"/>
    <mergeCell ref="B2:C2"/>
    <mergeCell ref="D2:E2"/>
    <mergeCell ref="B4:E4"/>
    <mergeCell ref="B9:C9"/>
    <mergeCell ref="B10:C10"/>
    <mergeCell ref="C32:D32"/>
    <mergeCell ref="B16:C16"/>
    <mergeCell ref="B17:C17"/>
    <mergeCell ref="B19:C19"/>
    <mergeCell ref="B21:E21"/>
    <mergeCell ref="B23:D23"/>
    <mergeCell ref="B25:E25"/>
    <mergeCell ref="C27:D27"/>
    <mergeCell ref="C28:D28"/>
    <mergeCell ref="C29:D29"/>
    <mergeCell ref="C30:D30"/>
    <mergeCell ref="C31:D31"/>
    <mergeCell ref="C39:D39"/>
    <mergeCell ref="C40:D40"/>
    <mergeCell ref="C41:D41"/>
    <mergeCell ref="C33:D33"/>
    <mergeCell ref="C34:D34"/>
    <mergeCell ref="C35:D35"/>
    <mergeCell ref="C36:D36"/>
    <mergeCell ref="C37:D37"/>
    <mergeCell ref="C38:D38"/>
  </mergeCells>
  <conditionalFormatting sqref="D73">
    <cfRule type="dataBar" priority="29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{A326CEC1-239A-694C-A0B6-FC0FB9052048}</x14:id>
        </ext>
      </extLst>
    </cfRule>
  </conditionalFormatting>
  <conditionalFormatting sqref="D85">
    <cfRule type="dataBar" priority="28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{DAD5AC16-6FD6-924F-9873-A2534CAEDBA0}</x14:id>
        </ext>
      </extLst>
    </cfRule>
  </conditionalFormatting>
  <conditionalFormatting sqref="B23:D23">
    <cfRule type="dataBar" priority="27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{5E73BC69-2BD8-904F-BBA0-537ADBA9AF5F}</x14:id>
        </ext>
      </extLst>
    </cfRule>
  </conditionalFormatting>
  <conditionalFormatting sqref="C27:D27">
    <cfRule type="dataBar" priority="26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{E7EC2157-E679-5D4E-9FD5-67539403351E}</x14:id>
        </ext>
      </extLst>
    </cfRule>
  </conditionalFormatting>
  <conditionalFormatting sqref="D97">
    <cfRule type="dataBar" priority="25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{9121BF72-4C93-3E4E-88FE-B3A3822D2DDC}</x14:id>
        </ext>
      </extLst>
    </cfRule>
  </conditionalFormatting>
  <conditionalFormatting sqref="C28:D28">
    <cfRule type="dataBar" priority="24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{6A58559B-E72C-EC4B-A59C-142105C09EDF}</x14:id>
        </ext>
      </extLst>
    </cfRule>
  </conditionalFormatting>
  <conditionalFormatting sqref="C29:D29">
    <cfRule type="dataBar" priority="23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{40C6966A-3678-9049-9F29-5E81D21D1B6C}</x14:id>
        </ext>
      </extLst>
    </cfRule>
  </conditionalFormatting>
  <conditionalFormatting sqref="C30:D30">
    <cfRule type="dataBar" priority="22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{946BABAF-A1DC-EC46-9FF5-9A8ACB654071}</x14:id>
        </ext>
      </extLst>
    </cfRule>
  </conditionalFormatting>
  <conditionalFormatting sqref="C31:D31">
    <cfRule type="dataBar" priority="21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{73486A0B-E560-904B-92BF-A6F21E2CD98C}</x14:id>
        </ext>
      </extLst>
    </cfRule>
  </conditionalFormatting>
  <conditionalFormatting sqref="C32:D32">
    <cfRule type="dataBar" priority="20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{7F9695D0-8F8D-3E42-A315-10F212921D86}</x14:id>
        </ext>
      </extLst>
    </cfRule>
  </conditionalFormatting>
  <conditionalFormatting sqref="C33:D33">
    <cfRule type="dataBar" priority="19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{F3CA9EEC-E12E-8445-9500-3B5C7A9A7D0A}</x14:id>
        </ext>
      </extLst>
    </cfRule>
  </conditionalFormatting>
  <conditionalFormatting sqref="C34:D34">
    <cfRule type="dataBar" priority="18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{0B403D9A-1CB8-EB4B-954D-CFF7701E7069}</x14:id>
        </ext>
      </extLst>
    </cfRule>
  </conditionalFormatting>
  <conditionalFormatting sqref="C35:D35">
    <cfRule type="dataBar" priority="17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{25567B46-5ED1-684D-9EF4-A6631A69E412}</x14:id>
        </ext>
      </extLst>
    </cfRule>
  </conditionalFormatting>
  <conditionalFormatting sqref="C36:D36">
    <cfRule type="dataBar" priority="16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{7B884B1E-86A3-674E-8B0B-B3E1263DA5BB}</x14:id>
        </ext>
      </extLst>
    </cfRule>
  </conditionalFormatting>
  <conditionalFormatting sqref="C37:D37">
    <cfRule type="dataBar" priority="15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{B9C004BE-9BAA-9F40-AA6F-1B62BB9F250F}</x14:id>
        </ext>
      </extLst>
    </cfRule>
  </conditionalFormatting>
  <conditionalFormatting sqref="C38:D41">
    <cfRule type="dataBar" priority="14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{89465F78-86F8-B848-B10F-00AFECD7D5DE}</x14:id>
        </ext>
      </extLst>
    </cfRule>
  </conditionalFormatting>
  <conditionalFormatting sqref="D109">
    <cfRule type="dataBar" priority="13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{19789542-48FB-BF41-BBEF-0A3B6B979C3B}</x14:id>
        </ext>
      </extLst>
    </cfRule>
  </conditionalFormatting>
  <conditionalFormatting sqref="D121">
    <cfRule type="dataBar" priority="12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{0DB653A3-2FB1-7B48-AEE0-96A836A4FB17}</x14:id>
        </ext>
      </extLst>
    </cfRule>
  </conditionalFormatting>
  <conditionalFormatting sqref="D133">
    <cfRule type="dataBar" priority="11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{1FF33AE7-8D2F-E24E-AEC2-4C47C4ACF1F3}</x14:id>
        </ext>
      </extLst>
    </cfRule>
  </conditionalFormatting>
  <conditionalFormatting sqref="D145">
    <cfRule type="dataBar" priority="10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{43DBE861-69B6-A44C-8FA0-C4251EC771CB}</x14:id>
        </ext>
      </extLst>
    </cfRule>
  </conditionalFormatting>
  <conditionalFormatting sqref="D157">
    <cfRule type="dataBar" priority="9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{F4BE2B22-453B-3841-AC51-2435CE03810E}</x14:id>
        </ext>
      </extLst>
    </cfRule>
  </conditionalFormatting>
  <conditionalFormatting sqref="D169">
    <cfRule type="dataBar" priority="8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{C0FD39C6-F75D-9040-9C08-37D909B4CBC2}</x14:id>
        </ext>
      </extLst>
    </cfRule>
  </conditionalFormatting>
  <conditionalFormatting sqref="D181">
    <cfRule type="dataBar" priority="7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{B653F6D9-0570-2343-8EA8-5A6CA8F4BA52}</x14:id>
        </ext>
      </extLst>
    </cfRule>
  </conditionalFormatting>
  <conditionalFormatting sqref="D193">
    <cfRule type="dataBar" priority="6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{567F23F8-3B21-AE4C-B15B-2E76DFFBE232}</x14:id>
        </ext>
      </extLst>
    </cfRule>
  </conditionalFormatting>
  <conditionalFormatting sqref="D205">
    <cfRule type="dataBar" priority="5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{0828AE29-9091-814C-9B90-14BD5A2DD387}</x14:id>
        </ext>
      </extLst>
    </cfRule>
  </conditionalFormatting>
  <conditionalFormatting sqref="D51">
    <cfRule type="dataBar" priority="4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{FAC2C8AB-244C-634F-B8BA-DF0D8763BF37}</x14:id>
        </ext>
      </extLst>
    </cfRule>
  </conditionalFormatting>
  <conditionalFormatting sqref="D217">
    <cfRule type="dataBar" priority="3">
      <dataBar>
        <cfvo type="num" val="0"/>
        <cfvo type="formula" val="$C$217"/>
        <color rgb="FF92D050"/>
      </dataBar>
      <extLst>
        <ext xmlns:x14="http://schemas.microsoft.com/office/spreadsheetml/2009/9/main" uri="{B025F937-C7B1-47D3-B67F-A62EFF666E3E}">
          <x14:id>{0FDBFE16-FCE0-1442-A293-87926252B88E}</x14:id>
        </ext>
      </extLst>
    </cfRule>
  </conditionalFormatting>
  <conditionalFormatting sqref="D229">
    <cfRule type="dataBar" priority="2">
      <dataBar>
        <cfvo type="num" val="0"/>
        <cfvo type="formula" val="$C$229"/>
        <color rgb="FF92D050"/>
      </dataBar>
      <extLst>
        <ext xmlns:x14="http://schemas.microsoft.com/office/spreadsheetml/2009/9/main" uri="{B025F937-C7B1-47D3-B67F-A62EFF666E3E}">
          <x14:id>{97FCEB8B-4041-9547-ACC4-CB3CA302CD29}</x14:id>
        </ext>
      </extLst>
    </cfRule>
  </conditionalFormatting>
  <conditionalFormatting sqref="D241">
    <cfRule type="dataBar" priority="1">
      <dataBar>
        <cfvo type="num" val="0"/>
        <cfvo type="formula" val="$C$241"/>
        <color rgb="FF92D050"/>
      </dataBar>
      <extLst>
        <ext xmlns:x14="http://schemas.microsoft.com/office/spreadsheetml/2009/9/main" uri="{B025F937-C7B1-47D3-B67F-A62EFF666E3E}">
          <x14:id>{AD74DD85-76DB-EF42-AB16-1D0F154FC5F7}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326CEC1-239A-694C-A0B6-FC0FB9052048}">
            <x14:dataBar minLength="0" maxLength="100" gradient="0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DAD5AC16-6FD6-924F-9873-A2534CAEDBA0}">
            <x14:dataBar minLength="0" maxLength="100" gradient="0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5E73BC69-2BD8-904F-BBA0-537ADBA9AF5F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E7EC2157-E679-5D4E-9FD5-67539403351E}">
            <x14:dataBar minLength="0" maxLength="100" gradient="0" direction="leftToRight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9121BF72-4C93-3E4E-88FE-B3A3822D2DDC}">
            <x14:dataBar minLength="0" maxLength="100" gradient="0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6A58559B-E72C-EC4B-A59C-142105C09EDF}">
            <x14:dataBar minLength="0" maxLength="100" gradient="0" direction="leftToRight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40C6966A-3678-9049-9F29-5E81D21D1B6C}">
            <x14:dataBar minLength="0" maxLength="100" gradient="0" direction="leftToRight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946BABAF-A1DC-EC46-9FF5-9A8ACB654071}">
            <x14:dataBar minLength="0" maxLength="100" gradient="0" direction="leftToRight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73486A0B-E560-904B-92BF-A6F21E2CD98C}">
            <x14:dataBar minLength="0" maxLength="100" gradient="0" direction="leftToRight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7F9695D0-8F8D-3E42-A315-10F212921D86}">
            <x14:dataBar minLength="0" maxLength="100" gradient="0" direction="leftToRight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F3CA9EEC-E12E-8445-9500-3B5C7A9A7D0A}">
            <x14:dataBar minLength="0" maxLength="100" gradient="0" direction="leftToRight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0B403D9A-1CB8-EB4B-954D-CFF7701E7069}">
            <x14:dataBar minLength="0" maxLength="100" gradient="0" direction="leftToRight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25567B46-5ED1-684D-9EF4-A6631A69E412}">
            <x14:dataBar minLength="0" maxLength="100" gradient="0" direction="leftToRight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7B884B1E-86A3-674E-8B0B-B3E1263DA5BB}">
            <x14:dataBar minLength="0" maxLength="100" gradient="0" direction="leftToRight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B9C004BE-9BAA-9F40-AA6F-1B62BB9F250F}">
            <x14:dataBar minLength="0" maxLength="100" gradient="0" direction="leftToRight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89465F78-86F8-B848-B10F-00AFECD7D5DE}">
            <x14:dataBar minLength="0" maxLength="100" gradient="0" direction="leftToRight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C38:D41</xm:sqref>
        </x14:conditionalFormatting>
        <x14:conditionalFormatting xmlns:xm="http://schemas.microsoft.com/office/excel/2006/main">
          <x14:cfRule type="dataBar" id="{19789542-48FB-BF41-BBEF-0A3B6B979C3B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D109</xm:sqref>
        </x14:conditionalFormatting>
        <x14:conditionalFormatting xmlns:xm="http://schemas.microsoft.com/office/excel/2006/main">
          <x14:cfRule type="dataBar" id="{0DB653A3-2FB1-7B48-AEE0-96A836A4FB17}">
            <x14:dataBar minLength="0" maxLength="100" gradient="0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D121</xm:sqref>
        </x14:conditionalFormatting>
        <x14:conditionalFormatting xmlns:xm="http://schemas.microsoft.com/office/excel/2006/main">
          <x14:cfRule type="dataBar" id="{1FF33AE7-8D2F-E24E-AEC2-4C47C4ACF1F3}">
            <x14:dataBar minLength="0" maxLength="100" gradient="0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43DBE861-69B6-A44C-8FA0-C4251EC771CB}">
            <x14:dataBar minLength="0" maxLength="100" gradient="0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F4BE2B22-453B-3841-AC51-2435CE03810E}">
            <x14:dataBar minLength="0" maxLength="100" gradient="0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C0FD39C6-F75D-9040-9C08-37D909B4CBC2}">
            <x14:dataBar minLength="0" maxLength="100" gradient="0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B653F6D9-0570-2343-8EA8-5A6CA8F4BA52}">
            <x14:dataBar minLength="0" maxLength="100" gradient="0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567F23F8-3B21-AE4C-B15B-2E76DFFBE232}">
            <x14:dataBar minLength="0" maxLength="100" gradient="0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D193</xm:sqref>
        </x14:conditionalFormatting>
        <x14:conditionalFormatting xmlns:xm="http://schemas.microsoft.com/office/excel/2006/main">
          <x14:cfRule type="dataBar" id="{0828AE29-9091-814C-9B90-14BD5A2DD387}">
            <x14:dataBar minLength="0" maxLength="100" gradient="0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D205</xm:sqref>
        </x14:conditionalFormatting>
        <x14:conditionalFormatting xmlns:xm="http://schemas.microsoft.com/office/excel/2006/main">
          <x14:cfRule type="dataBar" id="{FAC2C8AB-244C-634F-B8BA-DF0D8763BF37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0FDBFE16-FCE0-1442-A293-87926252B88E}">
            <x14:dataBar minLength="0" maxLength="100" gradient="0">
              <x14:cfvo type="num">
                <xm:f>0</xm:f>
              </x14:cfvo>
              <x14:cfvo type="formula">
                <xm:f>$C$217</xm:f>
              </x14:cfvo>
              <x14:negativeFillColor rgb="FFFF0000"/>
              <x14:axisColor rgb="FF000000"/>
            </x14:dataBar>
          </x14:cfRule>
          <xm:sqref>D217</xm:sqref>
        </x14:conditionalFormatting>
        <x14:conditionalFormatting xmlns:xm="http://schemas.microsoft.com/office/excel/2006/main">
          <x14:cfRule type="dataBar" id="{97FCEB8B-4041-9547-ACC4-CB3CA302CD29}">
            <x14:dataBar minLength="0" maxLength="100" gradient="0">
              <x14:cfvo type="num">
                <xm:f>0</xm:f>
              </x14:cfvo>
              <x14:cfvo type="formula">
                <xm:f>$C$229</xm:f>
              </x14:cfvo>
              <x14:negativeFillColor rgb="FFFF0000"/>
              <x14:axisColor rgb="FF000000"/>
            </x14:dataBar>
          </x14:cfRule>
          <xm:sqref>D229</xm:sqref>
        </x14:conditionalFormatting>
        <x14:conditionalFormatting xmlns:xm="http://schemas.microsoft.com/office/excel/2006/main">
          <x14:cfRule type="dataBar" id="{AD74DD85-76DB-EF42-AB16-1D0F154FC5F7}">
            <x14:dataBar minLength="0" maxLength="100" gradient="0">
              <x14:cfvo type="num">
                <xm:f>0</xm:f>
              </x14:cfvo>
              <x14:cfvo type="formula">
                <xm:f>$C$241</xm:f>
              </x14:cfvo>
              <x14:negativeFillColor rgb="FFFF0000"/>
              <x14:axisColor rgb="FF000000"/>
            </x14:dataBar>
          </x14:cfRule>
          <xm:sqref>D241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 enableFormatConditionsCalculation="0"/>
  <dimension ref="B2:AO255"/>
  <sheetViews>
    <sheetView showGridLines="0" workbookViewId="0">
      <pane xSplit="8" topLeftCell="I1" activePane="topRight" state="frozen"/>
      <selection activeCell="A12" sqref="A12"/>
      <selection pane="topRight" activeCell="I2" sqref="I2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  <col min="9" max="39" width="11.33203125" customWidth="1"/>
  </cols>
  <sheetData>
    <row r="2" spans="2:7" ht="24" x14ac:dyDescent="0.3">
      <c r="B2" s="66" t="s">
        <v>130</v>
      </c>
      <c r="C2" s="66"/>
      <c r="D2" s="67" t="s">
        <v>162</v>
      </c>
      <c r="E2" s="68"/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69" t="s">
        <v>144</v>
      </c>
      <c r="C4" s="70"/>
      <c r="D4" s="70"/>
      <c r="E4" s="70"/>
    </row>
    <row r="5" spans="2:7" outlineLevel="1" x14ac:dyDescent="0.2">
      <c r="B5" s="41" t="s">
        <v>147</v>
      </c>
      <c r="C5" s="45" t="s">
        <v>148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132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62" t="s">
        <v>127</v>
      </c>
      <c r="C9" s="62"/>
      <c r="D9" s="34">
        <f>C49</f>
        <v>0</v>
      </c>
      <c r="E9" s="18"/>
    </row>
    <row r="10" spans="2:7" x14ac:dyDescent="0.2">
      <c r="B10" s="62" t="s">
        <v>131</v>
      </c>
      <c r="C10" s="62"/>
      <c r="D10" s="34">
        <f>C71</f>
        <v>0</v>
      </c>
      <c r="E10" s="18"/>
    </row>
    <row r="11" spans="2:7" x14ac:dyDescent="0.2">
      <c r="B11" s="48"/>
      <c r="C11" s="48"/>
      <c r="D11" s="31"/>
      <c r="E11" s="18"/>
    </row>
    <row r="12" spans="2:7" ht="30" customHeight="1" x14ac:dyDescent="0.2">
      <c r="B12" s="63" t="s">
        <v>133</v>
      </c>
      <c r="C12" s="63"/>
      <c r="D12" s="36">
        <f>D9-D10</f>
        <v>0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134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62" t="s">
        <v>128</v>
      </c>
      <c r="C16" s="62"/>
      <c r="D16" s="28">
        <f>D49</f>
        <v>0</v>
      </c>
      <c r="E16" s="18"/>
    </row>
    <row r="17" spans="2:5" x14ac:dyDescent="0.2">
      <c r="B17" s="62" t="s">
        <v>135</v>
      </c>
      <c r="C17" s="62"/>
      <c r="D17" s="28">
        <f>D71</f>
        <v>0</v>
      </c>
      <c r="E17" s="18"/>
    </row>
    <row r="18" spans="2:5" x14ac:dyDescent="0.2">
      <c r="B18" s="48"/>
      <c r="C18" s="48"/>
      <c r="D18" s="28"/>
      <c r="E18" s="18"/>
    </row>
    <row r="19" spans="2:5" ht="30" customHeight="1" x14ac:dyDescent="0.2">
      <c r="B19" s="63" t="s">
        <v>136</v>
      </c>
      <c r="C19" s="63"/>
      <c r="D19" s="36">
        <f>D16-D17</f>
        <v>0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64" t="s">
        <v>137</v>
      </c>
      <c r="C21" s="64"/>
      <c r="D21" s="64"/>
      <c r="E21" s="64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60">
        <f>D17</f>
        <v>0</v>
      </c>
      <c r="C23" s="65"/>
      <c r="D23" s="61"/>
      <c r="E23" s="38" t="str">
        <f>IFERROR(D17/D16,"")</f>
        <v/>
      </c>
    </row>
    <row r="24" spans="2:5" ht="18" x14ac:dyDescent="0.2">
      <c r="B24" s="29"/>
      <c r="D24" s="30"/>
      <c r="E24" s="18"/>
    </row>
    <row r="25" spans="2:5" x14ac:dyDescent="0.2">
      <c r="B25" s="64" t="s">
        <v>138</v>
      </c>
      <c r="C25" s="64"/>
      <c r="D25" s="64"/>
      <c r="E25" s="64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B73</f>
        <v>Jedzenie</v>
      </c>
      <c r="C27" s="60">
        <f>D73</f>
        <v>0</v>
      </c>
      <c r="D27" s="72"/>
      <c r="E27" s="38" t="str">
        <f>IFERROR(D73/C73,"")</f>
        <v/>
      </c>
    </row>
    <row r="28" spans="2:5" ht="18" customHeight="1" x14ac:dyDescent="0.2">
      <c r="B28" s="29" t="str">
        <f>B85</f>
        <v>Mieszkanie / dom</v>
      </c>
      <c r="C28" s="60">
        <f>D85</f>
        <v>0</v>
      </c>
      <c r="D28" s="61"/>
      <c r="E28" s="38" t="str">
        <f>IFERROR(D85/C85,"")</f>
        <v/>
      </c>
    </row>
    <row r="29" spans="2:5" ht="18" customHeight="1" x14ac:dyDescent="0.2">
      <c r="B29" s="29" t="str">
        <f>B97</f>
        <v>Transport</v>
      </c>
      <c r="C29" s="60">
        <f>D97</f>
        <v>0</v>
      </c>
      <c r="D29" s="61"/>
      <c r="E29" s="38" t="str">
        <f>IFERROR(D97/C97,"")</f>
        <v/>
      </c>
    </row>
    <row r="30" spans="2:5" ht="18" customHeight="1" x14ac:dyDescent="0.2">
      <c r="B30" s="29" t="str">
        <f>B109</f>
        <v>Telekomunikacja</v>
      </c>
      <c r="C30" s="60">
        <f>D109</f>
        <v>0</v>
      </c>
      <c r="D30" s="61"/>
      <c r="E30" s="38" t="str">
        <f>IFERROR(D109/C109,"")</f>
        <v/>
      </c>
    </row>
    <row r="31" spans="2:5" ht="18" customHeight="1" x14ac:dyDescent="0.2">
      <c r="B31" s="29" t="str">
        <f>B121</f>
        <v>Opieka zdrowotna</v>
      </c>
      <c r="C31" s="60">
        <f>D121</f>
        <v>0</v>
      </c>
      <c r="D31" s="61"/>
      <c r="E31" s="38" t="str">
        <f>IFERROR(D121/C121,"")</f>
        <v/>
      </c>
    </row>
    <row r="32" spans="2:5" ht="18" customHeight="1" x14ac:dyDescent="0.2">
      <c r="B32" s="29" t="str">
        <f>B133</f>
        <v>Ubranie</v>
      </c>
      <c r="C32" s="60">
        <f>D133</f>
        <v>0</v>
      </c>
      <c r="D32" s="61"/>
      <c r="E32" s="38" t="str">
        <f>IFERROR(D133/C133,"")</f>
        <v/>
      </c>
    </row>
    <row r="33" spans="2:9" ht="18" customHeight="1" x14ac:dyDescent="0.2">
      <c r="B33" s="29" t="str">
        <f>B145</f>
        <v>Higiena</v>
      </c>
      <c r="C33" s="60">
        <f>D145</f>
        <v>0</v>
      </c>
      <c r="D33" s="61"/>
      <c r="E33" s="38" t="str">
        <f>IFERROR(D145/C145,"")</f>
        <v/>
      </c>
    </row>
    <row r="34" spans="2:9" ht="18" customHeight="1" x14ac:dyDescent="0.2">
      <c r="B34" s="29" t="str">
        <f>B157</f>
        <v>Dzieci</v>
      </c>
      <c r="C34" s="60">
        <f>D157</f>
        <v>0</v>
      </c>
      <c r="D34" s="61"/>
      <c r="E34" s="38" t="str">
        <f>IFERROR(D157/C157,"")</f>
        <v/>
      </c>
    </row>
    <row r="35" spans="2:9" ht="18" customHeight="1" x14ac:dyDescent="0.2">
      <c r="B35" s="29" t="str">
        <f>B169</f>
        <v>Rozrywka</v>
      </c>
      <c r="C35" s="60">
        <f>D169</f>
        <v>0</v>
      </c>
      <c r="D35" s="61"/>
      <c r="E35" s="38" t="str">
        <f>IFERROR(D169/C169,"")</f>
        <v/>
      </c>
    </row>
    <row r="36" spans="2:9" ht="18" customHeight="1" x14ac:dyDescent="0.2">
      <c r="B36" s="29" t="str">
        <f>B181</f>
        <v>Inne wydatki</v>
      </c>
      <c r="C36" s="60">
        <f>D181</f>
        <v>0</v>
      </c>
      <c r="D36" s="61"/>
      <c r="E36" s="38" t="str">
        <f>IFERROR(D181/C181,"")</f>
        <v/>
      </c>
    </row>
    <row r="37" spans="2:9" ht="18" customHeight="1" x14ac:dyDescent="0.2">
      <c r="B37" s="29" t="str">
        <f>B193</f>
        <v>Spłata długów</v>
      </c>
      <c r="C37" s="60">
        <f>D193</f>
        <v>0</v>
      </c>
      <c r="D37" s="61"/>
      <c r="E37" s="38" t="str">
        <f>IFERROR(D193/C193,"")</f>
        <v/>
      </c>
    </row>
    <row r="38" spans="2:9" ht="18" customHeight="1" x14ac:dyDescent="0.2">
      <c r="B38" s="29" t="str">
        <f>B205</f>
        <v>Budowanie oszczędności</v>
      </c>
      <c r="C38" s="60">
        <f>D205</f>
        <v>0</v>
      </c>
      <c r="D38" s="61"/>
      <c r="E38" s="38" t="str">
        <f>IFERROR(D205/C205,"")</f>
        <v/>
      </c>
    </row>
    <row r="39" spans="2:9" ht="18" customHeight="1" x14ac:dyDescent="0.2">
      <c r="B39" s="29" t="str">
        <f>B217</f>
        <v>INNE 1</v>
      </c>
      <c r="C39" s="60">
        <f>D217</f>
        <v>0</v>
      </c>
      <c r="D39" s="61"/>
      <c r="E39" s="38" t="str">
        <f>IFERROR(D217/C217,"")</f>
        <v/>
      </c>
    </row>
    <row r="40" spans="2:9" ht="18" customHeight="1" x14ac:dyDescent="0.2">
      <c r="B40" s="29" t="str">
        <f>B229</f>
        <v>INNE 2</v>
      </c>
      <c r="C40" s="60">
        <f>D229</f>
        <v>0</v>
      </c>
      <c r="D40" s="72"/>
      <c r="E40" s="38" t="str">
        <f>IFERROR(D229/C229,"")</f>
        <v/>
      </c>
    </row>
    <row r="41" spans="2:9" ht="18" customHeight="1" x14ac:dyDescent="0.2">
      <c r="B41" s="29" t="str">
        <f>B241</f>
        <v>INNE 3</v>
      </c>
      <c r="C41" s="60">
        <f>D241</f>
        <v>0</v>
      </c>
      <c r="D41" s="72"/>
      <c r="E41" s="38" t="str">
        <f>IFERROR(D241/C241,"")</f>
        <v/>
      </c>
    </row>
    <row r="42" spans="2:9" ht="18" x14ac:dyDescent="0.2">
      <c r="B42" s="29"/>
      <c r="D42" s="30"/>
      <c r="E42" s="18"/>
    </row>
    <row r="43" spans="2:9" x14ac:dyDescent="0.2">
      <c r="B43" s="18"/>
      <c r="C43" s="18"/>
      <c r="D43" s="18"/>
      <c r="E43" s="18"/>
    </row>
    <row r="44" spans="2:9" ht="22" thickBot="1" x14ac:dyDescent="0.3">
      <c r="B44" s="32" t="s">
        <v>42</v>
      </c>
      <c r="C44" s="33"/>
      <c r="D44" s="33"/>
      <c r="E44" s="33"/>
      <c r="F44" s="33"/>
      <c r="G44" s="33"/>
    </row>
    <row r="46" spans="2:9" ht="21" x14ac:dyDescent="0.25">
      <c r="B46" s="44" t="s">
        <v>26</v>
      </c>
      <c r="I46" s="7" t="s">
        <v>43</v>
      </c>
    </row>
    <row r="47" spans="2:9" x14ac:dyDescent="0.2">
      <c r="B47" s="1"/>
    </row>
    <row r="48" spans="2:9" ht="30" x14ac:dyDescent="0.2">
      <c r="B48" s="8" t="s">
        <v>0</v>
      </c>
      <c r="C48" s="9" t="s">
        <v>127</v>
      </c>
      <c r="D48" s="10" t="s">
        <v>128</v>
      </c>
      <c r="E48" s="8" t="s">
        <v>129</v>
      </c>
      <c r="F48" s="9" t="s">
        <v>140</v>
      </c>
      <c r="G48" s="8" t="s">
        <v>41</v>
      </c>
      <c r="I48" s="41" t="s">
        <v>159</v>
      </c>
    </row>
    <row r="49" spans="2:39" ht="26" customHeight="1" x14ac:dyDescent="0.2">
      <c r="B49" s="39" t="s">
        <v>139</v>
      </c>
      <c r="C49" s="40">
        <f>C51</f>
        <v>0</v>
      </c>
      <c r="D49" s="40">
        <f>D51</f>
        <v>0</v>
      </c>
      <c r="E49" s="40">
        <f>D49-C49</f>
        <v>0</v>
      </c>
      <c r="F49" s="8" t="s">
        <v>141</v>
      </c>
      <c r="G49" s="8"/>
      <c r="I49" s="43">
        <f>SUM(I52:I67)</f>
        <v>0</v>
      </c>
      <c r="J49" s="43">
        <f>SUM(J52:J67)</f>
        <v>0</v>
      </c>
      <c r="K49" s="43">
        <f t="shared" ref="K49:AM49" si="0">SUM(K52:K67)</f>
        <v>0</v>
      </c>
      <c r="L49" s="43">
        <f t="shared" si="0"/>
        <v>0</v>
      </c>
      <c r="M49" s="43">
        <f t="shared" si="0"/>
        <v>0</v>
      </c>
      <c r="N49" s="43">
        <f t="shared" si="0"/>
        <v>0</v>
      </c>
      <c r="O49" s="43">
        <f t="shared" si="0"/>
        <v>0</v>
      </c>
      <c r="P49" s="43">
        <f t="shared" si="0"/>
        <v>0</v>
      </c>
      <c r="Q49" s="43">
        <f t="shared" si="0"/>
        <v>0</v>
      </c>
      <c r="R49" s="43">
        <f t="shared" si="0"/>
        <v>0</v>
      </c>
      <c r="S49" s="43">
        <f t="shared" si="0"/>
        <v>0</v>
      </c>
      <c r="T49" s="43">
        <f t="shared" si="0"/>
        <v>0</v>
      </c>
      <c r="U49" s="43">
        <f t="shared" si="0"/>
        <v>0</v>
      </c>
      <c r="V49" s="43">
        <f t="shared" si="0"/>
        <v>0</v>
      </c>
      <c r="W49" s="43">
        <f t="shared" si="0"/>
        <v>0</v>
      </c>
      <c r="X49" s="43">
        <f t="shared" si="0"/>
        <v>0</v>
      </c>
      <c r="Y49" s="43">
        <f t="shared" si="0"/>
        <v>0</v>
      </c>
      <c r="Z49" s="43">
        <f t="shared" si="0"/>
        <v>0</v>
      </c>
      <c r="AA49" s="43">
        <f t="shared" si="0"/>
        <v>0</v>
      </c>
      <c r="AB49" s="43">
        <f t="shared" si="0"/>
        <v>0</v>
      </c>
      <c r="AC49" s="43">
        <f t="shared" si="0"/>
        <v>0</v>
      </c>
      <c r="AD49" s="43">
        <f t="shared" si="0"/>
        <v>0</v>
      </c>
      <c r="AE49" s="43">
        <f t="shared" si="0"/>
        <v>0</v>
      </c>
      <c r="AF49" s="43">
        <f t="shared" si="0"/>
        <v>0</v>
      </c>
      <c r="AG49" s="43">
        <f t="shared" si="0"/>
        <v>0</v>
      </c>
      <c r="AH49" s="43">
        <f t="shared" si="0"/>
        <v>0</v>
      </c>
      <c r="AI49" s="43">
        <f t="shared" si="0"/>
        <v>0</v>
      </c>
      <c r="AJ49" s="43">
        <f t="shared" si="0"/>
        <v>0</v>
      </c>
      <c r="AK49" s="43">
        <f t="shared" si="0"/>
        <v>0</v>
      </c>
      <c r="AL49" s="43">
        <f t="shared" si="0"/>
        <v>0</v>
      </c>
      <c r="AM49" s="43">
        <f t="shared" si="0"/>
        <v>0</v>
      </c>
    </row>
    <row r="50" spans="2:39" x14ac:dyDescent="0.2">
      <c r="B50" s="1"/>
    </row>
    <row r="51" spans="2:39" x14ac:dyDescent="0.2">
      <c r="B51" s="14" t="str">
        <f>'Wzorzec kategorii'!B14</f>
        <v>Całkowite przychody</v>
      </c>
      <c r="C51" s="15">
        <f>SUM(Tabela718131[[#All],[Kolumna2]])</f>
        <v>0</v>
      </c>
      <c r="D51" s="16">
        <f>SUM(Tabela718131[[#All],[Kolumna3]])</f>
        <v>0</v>
      </c>
      <c r="E51" s="15">
        <f>D51-C51</f>
        <v>0</v>
      </c>
      <c r="F51" s="17" t="str">
        <f>IFERROR(D51/C51,"")</f>
        <v/>
      </c>
      <c r="G51" s="15"/>
      <c r="I51" s="11" t="s">
        <v>44</v>
      </c>
      <c r="J51" s="11" t="s">
        <v>45</v>
      </c>
      <c r="K51" s="11" t="s">
        <v>46</v>
      </c>
      <c r="L51" s="11" t="s">
        <v>47</v>
      </c>
      <c r="M51" s="11" t="s">
        <v>48</v>
      </c>
      <c r="N51" s="11" t="s">
        <v>49</v>
      </c>
      <c r="O51" s="11" t="s">
        <v>50</v>
      </c>
      <c r="P51" s="11" t="s">
        <v>51</v>
      </c>
      <c r="Q51" s="11" t="s">
        <v>52</v>
      </c>
      <c r="R51" s="11" t="s">
        <v>53</v>
      </c>
      <c r="S51" s="11" t="s">
        <v>54</v>
      </c>
      <c r="T51" s="11" t="s">
        <v>55</v>
      </c>
      <c r="U51" s="11" t="s">
        <v>56</v>
      </c>
      <c r="V51" s="11" t="s">
        <v>57</v>
      </c>
      <c r="W51" s="11" t="s">
        <v>58</v>
      </c>
      <c r="X51" s="11" t="s">
        <v>59</v>
      </c>
      <c r="Y51" s="11" t="s">
        <v>60</v>
      </c>
      <c r="Z51" s="11" t="s">
        <v>61</v>
      </c>
      <c r="AA51" s="11" t="s">
        <v>62</v>
      </c>
      <c r="AB51" s="11" t="s">
        <v>63</v>
      </c>
      <c r="AC51" s="11" t="s">
        <v>64</v>
      </c>
      <c r="AD51" s="11" t="s">
        <v>65</v>
      </c>
      <c r="AE51" s="11" t="s">
        <v>66</v>
      </c>
      <c r="AF51" s="11" t="s">
        <v>67</v>
      </c>
      <c r="AG51" s="11" t="s">
        <v>68</v>
      </c>
      <c r="AH51" s="11" t="s">
        <v>69</v>
      </c>
      <c r="AI51" s="11" t="s">
        <v>70</v>
      </c>
      <c r="AJ51" s="11" t="s">
        <v>71</v>
      </c>
      <c r="AK51" s="11" t="s">
        <v>72</v>
      </c>
      <c r="AL51" s="11" t="s">
        <v>73</v>
      </c>
      <c r="AM51" s="11" t="s">
        <v>74</v>
      </c>
    </row>
    <row r="52" spans="2:39" x14ac:dyDescent="0.2">
      <c r="B52" s="22" t="str">
        <f>'Wzorzec kategorii'!B15</f>
        <v>Wynagrodzenie</v>
      </c>
      <c r="C52" s="19">
        <v>0</v>
      </c>
      <c r="D52" s="47">
        <f>SUM(Tabela33064160[#This Row])</f>
        <v>0</v>
      </c>
      <c r="E52" s="20">
        <f>Tabela718131[[#This Row],[Kolumna3]]-Tabela718131[[#This Row],[Kolumna2]]</f>
        <v>0</v>
      </c>
      <c r="F52" s="21" t="str">
        <f t="shared" ref="F52:F66" si="1">IFERROR(D52/C52,"")</f>
        <v/>
      </c>
      <c r="G52" s="2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ht="30" x14ac:dyDescent="0.2">
      <c r="B53" s="22" t="str">
        <f>'Wzorzec kategorii'!B16</f>
        <v>Wynagrodzenie Partnera / Partnerki</v>
      </c>
      <c r="C53" s="19">
        <v>0</v>
      </c>
      <c r="D53" s="47">
        <f>SUM(Tabela33064160[#This Row])</f>
        <v>0</v>
      </c>
      <c r="E53" s="20">
        <f>Tabela718131[[#This Row],[Kolumna3]]-Tabela718131[[#This Row],[Kolumna2]]</f>
        <v>0</v>
      </c>
      <c r="F53" s="21" t="str">
        <f t="shared" si="1"/>
        <v/>
      </c>
      <c r="G53" s="2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x14ac:dyDescent="0.2">
      <c r="B54" s="22" t="str">
        <f>'Wzorzec kategorii'!B17</f>
        <v>Premia</v>
      </c>
      <c r="C54" s="19">
        <v>0</v>
      </c>
      <c r="D54" s="47">
        <f>SUM(Tabela33064160[#This Row])</f>
        <v>0</v>
      </c>
      <c r="E54" s="20">
        <f>Tabela718131[[#This Row],[Kolumna3]]-Tabela718131[[#This Row],[Kolumna2]]</f>
        <v>0</v>
      </c>
      <c r="F54" s="21" t="str">
        <f t="shared" si="1"/>
        <v/>
      </c>
      <c r="G54" s="2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x14ac:dyDescent="0.2">
      <c r="B55" s="22" t="str">
        <f>'Wzorzec kategorii'!B18</f>
        <v>Przychody z premii bankowych</v>
      </c>
      <c r="C55" s="19">
        <v>0</v>
      </c>
      <c r="D55" s="47">
        <f>SUM(Tabela33064160[#This Row])</f>
        <v>0</v>
      </c>
      <c r="E55" s="20">
        <f>Tabela718131[[#This Row],[Kolumna3]]-Tabela718131[[#This Row],[Kolumna2]]</f>
        <v>0</v>
      </c>
      <c r="F55" s="21" t="str">
        <f t="shared" si="1"/>
        <v/>
      </c>
      <c r="G55" s="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x14ac:dyDescent="0.2">
      <c r="B56" s="22" t="str">
        <f>'Wzorzec kategorii'!B19</f>
        <v>Odsetki bankowe</v>
      </c>
      <c r="C56" s="19">
        <v>0</v>
      </c>
      <c r="D56" s="47">
        <f>SUM(Tabela33064160[#This Row])</f>
        <v>0</v>
      </c>
      <c r="E56" s="20">
        <f>Tabela718131[[#This Row],[Kolumna3]]-Tabela718131[[#This Row],[Kolumna2]]</f>
        <v>0</v>
      </c>
      <c r="F56" s="21" t="str">
        <f t="shared" si="1"/>
        <v/>
      </c>
      <c r="G56" s="2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2:39" x14ac:dyDescent="0.2">
      <c r="B57" s="22" t="str">
        <f>'Wzorzec kategorii'!B20</f>
        <v>Sprzedaż na Allegro itp.</v>
      </c>
      <c r="C57" s="19">
        <v>0</v>
      </c>
      <c r="D57" s="47">
        <f>SUM(Tabela33064160[#This Row])</f>
        <v>0</v>
      </c>
      <c r="E57" s="20">
        <f>Tabela718131[[#This Row],[Kolumna3]]-Tabela718131[[#This Row],[Kolumna2]]</f>
        <v>0</v>
      </c>
      <c r="F57" s="21" t="str">
        <f t="shared" si="1"/>
        <v/>
      </c>
      <c r="G57" s="2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9" x14ac:dyDescent="0.2">
      <c r="B58" s="22" t="str">
        <f>'Wzorzec kategorii'!B21</f>
        <v>Inne przychody</v>
      </c>
      <c r="C58" s="19">
        <v>0</v>
      </c>
      <c r="D58" s="47">
        <f>SUM(Tabela33064160[#This Row])</f>
        <v>0</v>
      </c>
      <c r="E58" s="20">
        <f>Tabela718131[[#This Row],[Kolumna3]]-Tabela718131[[#This Row],[Kolumna2]]</f>
        <v>0</v>
      </c>
      <c r="F58" s="21" t="str">
        <f t="shared" si="1"/>
        <v/>
      </c>
      <c r="G58" s="2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2:39" x14ac:dyDescent="0.2">
      <c r="B59" s="22" t="str">
        <f>'Wzorzec kategorii'!B22</f>
        <v>.</v>
      </c>
      <c r="C59" s="19">
        <v>0</v>
      </c>
      <c r="D59" s="47">
        <f>SUM(Tabela33064160[#This Row])</f>
        <v>0</v>
      </c>
      <c r="E59" s="20">
        <f>Tabela718131[[#This Row],[Kolumna3]]-Tabela718131[[#This Row],[Kolumna2]]</f>
        <v>0</v>
      </c>
      <c r="F59" s="53" t="str">
        <f t="shared" si="1"/>
        <v/>
      </c>
      <c r="G59" s="2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2:39" x14ac:dyDescent="0.2">
      <c r="B60" s="22" t="str">
        <f>'Wzorzec kategorii'!B23</f>
        <v>.</v>
      </c>
      <c r="C60" s="19">
        <v>0</v>
      </c>
      <c r="D60" s="47">
        <f>SUM(Tabela33064160[#This Row])</f>
        <v>0</v>
      </c>
      <c r="E60" s="20">
        <f>Tabela718131[[#This Row],[Kolumna3]]-Tabela718131[[#This Row],[Kolumna2]]</f>
        <v>0</v>
      </c>
      <c r="F60" s="53" t="str">
        <f t="shared" si="1"/>
        <v/>
      </c>
      <c r="G60" s="2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2:39" x14ac:dyDescent="0.2">
      <c r="B61" s="22" t="str">
        <f>'Wzorzec kategorii'!B24</f>
        <v>.</v>
      </c>
      <c r="C61" s="19">
        <v>0</v>
      </c>
      <c r="D61" s="47">
        <f>SUM(Tabela33064160[#This Row])</f>
        <v>0</v>
      </c>
      <c r="E61" s="20">
        <f>Tabela718131[[#This Row],[Kolumna3]]-Tabela718131[[#This Row],[Kolumna2]]</f>
        <v>0</v>
      </c>
      <c r="F61" s="53" t="str">
        <f t="shared" si="1"/>
        <v/>
      </c>
      <c r="G61" s="2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2:39" x14ac:dyDescent="0.2">
      <c r="B62" s="22" t="str">
        <f>'Wzorzec kategorii'!B25</f>
        <v>.</v>
      </c>
      <c r="C62" s="19">
        <v>0</v>
      </c>
      <c r="D62" s="47">
        <f>SUM(Tabela33064160[#This Row])</f>
        <v>0</v>
      </c>
      <c r="E62" s="20">
        <f>Tabela718131[[#This Row],[Kolumna3]]-Tabela718131[[#This Row],[Kolumna2]]</f>
        <v>0</v>
      </c>
      <c r="F62" s="53" t="str">
        <f t="shared" si="1"/>
        <v/>
      </c>
      <c r="G62" s="2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:39" x14ac:dyDescent="0.2">
      <c r="B63" s="22" t="str">
        <f>'Wzorzec kategorii'!B26</f>
        <v>.</v>
      </c>
      <c r="C63" s="19">
        <v>0</v>
      </c>
      <c r="D63" s="47">
        <f>SUM(Tabela33064160[#This Row])</f>
        <v>0</v>
      </c>
      <c r="E63" s="20">
        <f>Tabela718131[[#This Row],[Kolumna3]]-Tabela718131[[#This Row],[Kolumna2]]</f>
        <v>0</v>
      </c>
      <c r="F63" s="53" t="str">
        <f t="shared" si="1"/>
        <v/>
      </c>
      <c r="G63" s="2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x14ac:dyDescent="0.2">
      <c r="B64" s="22" t="str">
        <f>'Wzorzec kategorii'!B27</f>
        <v>.</v>
      </c>
      <c r="C64" s="19">
        <v>0</v>
      </c>
      <c r="D64" s="47">
        <f>SUM(Tabela33064160[#This Row])</f>
        <v>0</v>
      </c>
      <c r="E64" s="20">
        <f>Tabela718131[[#This Row],[Kolumna3]]-Tabela718131[[#This Row],[Kolumna2]]</f>
        <v>0</v>
      </c>
      <c r="F64" s="53" t="str">
        <f t="shared" si="1"/>
        <v/>
      </c>
      <c r="G64" s="2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:39" x14ac:dyDescent="0.2">
      <c r="B65" s="22" t="str">
        <f>'Wzorzec kategorii'!B28</f>
        <v>.</v>
      </c>
      <c r="C65" s="19">
        <v>0</v>
      </c>
      <c r="D65" s="47">
        <f>SUM(Tabela33064160[#This Row])</f>
        <v>0</v>
      </c>
      <c r="E65" s="20">
        <f>Tabela718131[[#This Row],[Kolumna3]]-Tabela718131[[#This Row],[Kolumna2]]</f>
        <v>0</v>
      </c>
      <c r="F65" s="53" t="str">
        <f t="shared" si="1"/>
        <v/>
      </c>
      <c r="G65" s="2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39" x14ac:dyDescent="0.2">
      <c r="B66" s="22" t="str">
        <f>'Wzorzec kategorii'!B29</f>
        <v>.</v>
      </c>
      <c r="C66" s="19">
        <v>0</v>
      </c>
      <c r="D66" s="47">
        <f>SUM(Tabela33064160[#This Row])</f>
        <v>0</v>
      </c>
      <c r="E66" s="20">
        <f>Tabela718131[[#This Row],[Kolumna3]]-Tabela718131[[#This Row],[Kolumna2]]</f>
        <v>0</v>
      </c>
      <c r="F66" s="53" t="str">
        <f t="shared" si="1"/>
        <v/>
      </c>
      <c r="G66" s="2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:39" x14ac:dyDescent="0.2">
      <c r="B67" s="5" t="s">
        <v>30</v>
      </c>
    </row>
    <row r="68" spans="2:39" ht="21" x14ac:dyDescent="0.25">
      <c r="B68" s="44" t="s">
        <v>25</v>
      </c>
      <c r="I68" s="7" t="s">
        <v>43</v>
      </c>
    </row>
    <row r="70" spans="2:39" ht="30" x14ac:dyDescent="0.2">
      <c r="B70" s="8" t="s">
        <v>0</v>
      </c>
      <c r="C70" s="9" t="s">
        <v>131</v>
      </c>
      <c r="D70" s="10" t="s">
        <v>135</v>
      </c>
      <c r="E70" s="8" t="s">
        <v>129</v>
      </c>
      <c r="F70" s="9" t="s">
        <v>140</v>
      </c>
      <c r="G70" s="8" t="s">
        <v>41</v>
      </c>
      <c r="I70" s="41" t="s">
        <v>142</v>
      </c>
    </row>
    <row r="71" spans="2:39" ht="24" customHeight="1" x14ac:dyDescent="0.2">
      <c r="B71" s="39" t="s">
        <v>139</v>
      </c>
      <c r="C71" s="40">
        <f>C73+C85+C97+C109+C121+C133+C145+C157+C169+C181+C193+C205+C217+C229+C241</f>
        <v>0</v>
      </c>
      <c r="D71" s="40">
        <f>D73+D85+D97+D109+D121+D133+D145+D157+D169+D181+D193+D205+D217+D229+D241</f>
        <v>0</v>
      </c>
      <c r="E71" s="40">
        <f>C71-D71</f>
        <v>0</v>
      </c>
      <c r="F71" s="8" t="s">
        <v>141</v>
      </c>
      <c r="G71" s="8"/>
      <c r="I71" s="43">
        <f>SUM(I73:I251)</f>
        <v>0</v>
      </c>
      <c r="J71" s="43">
        <f>SUM(J73:J251)</f>
        <v>0</v>
      </c>
      <c r="K71" s="43">
        <f t="shared" ref="K71:AM71" si="2">SUM(K73:K251)</f>
        <v>0</v>
      </c>
      <c r="L71" s="43">
        <f t="shared" si="2"/>
        <v>0</v>
      </c>
      <c r="M71" s="43">
        <f t="shared" si="2"/>
        <v>0</v>
      </c>
      <c r="N71" s="43">
        <f t="shared" si="2"/>
        <v>0</v>
      </c>
      <c r="O71" s="43">
        <f t="shared" si="2"/>
        <v>0</v>
      </c>
      <c r="P71" s="43">
        <f t="shared" si="2"/>
        <v>0</v>
      </c>
      <c r="Q71" s="43">
        <f t="shared" si="2"/>
        <v>0</v>
      </c>
      <c r="R71" s="43">
        <f t="shared" si="2"/>
        <v>0</v>
      </c>
      <c r="S71" s="43">
        <f t="shared" si="2"/>
        <v>0</v>
      </c>
      <c r="T71" s="43">
        <f t="shared" si="2"/>
        <v>0</v>
      </c>
      <c r="U71" s="43">
        <f t="shared" si="2"/>
        <v>0</v>
      </c>
      <c r="V71" s="43">
        <f t="shared" si="2"/>
        <v>0</v>
      </c>
      <c r="W71" s="43">
        <f t="shared" si="2"/>
        <v>0</v>
      </c>
      <c r="X71" s="43">
        <f t="shared" si="2"/>
        <v>0</v>
      </c>
      <c r="Y71" s="43">
        <f t="shared" si="2"/>
        <v>0</v>
      </c>
      <c r="Z71" s="43">
        <f t="shared" si="2"/>
        <v>0</v>
      </c>
      <c r="AA71" s="43">
        <f t="shared" si="2"/>
        <v>0</v>
      </c>
      <c r="AB71" s="43">
        <f t="shared" si="2"/>
        <v>0</v>
      </c>
      <c r="AC71" s="43">
        <f t="shared" si="2"/>
        <v>0</v>
      </c>
      <c r="AD71" s="43">
        <f t="shared" si="2"/>
        <v>0</v>
      </c>
      <c r="AE71" s="43">
        <f t="shared" si="2"/>
        <v>0</v>
      </c>
      <c r="AF71" s="43">
        <f t="shared" si="2"/>
        <v>0</v>
      </c>
      <c r="AG71" s="43">
        <f t="shared" si="2"/>
        <v>0</v>
      </c>
      <c r="AH71" s="43">
        <f t="shared" si="2"/>
        <v>0</v>
      </c>
      <c r="AI71" s="43">
        <f t="shared" si="2"/>
        <v>0</v>
      </c>
      <c r="AJ71" s="43">
        <f t="shared" si="2"/>
        <v>0</v>
      </c>
      <c r="AK71" s="43">
        <f t="shared" si="2"/>
        <v>0</v>
      </c>
      <c r="AL71" s="43">
        <f t="shared" si="2"/>
        <v>0</v>
      </c>
      <c r="AM71" s="43">
        <f t="shared" si="2"/>
        <v>0</v>
      </c>
    </row>
    <row r="73" spans="2:39" x14ac:dyDescent="0.2">
      <c r="B73" s="14" t="str">
        <f>'Wzorzec kategorii'!B35</f>
        <v>Jedzenie</v>
      </c>
      <c r="C73" s="15">
        <f>SUM(Jedzenie2129[[#All],[0]])</f>
        <v>0</v>
      </c>
      <c r="D73" s="16">
        <f>SUM(Jedzenie2129[[#All],[02]])</f>
        <v>0</v>
      </c>
      <c r="E73" s="15">
        <f t="shared" ref="E73:E83" si="3">C73-D73</f>
        <v>0</v>
      </c>
      <c r="F73" s="17" t="str">
        <f t="shared" ref="F73:F83" si="4">IFERROR(D73/C73,"")</f>
        <v/>
      </c>
      <c r="G73" s="23"/>
      <c r="I73" s="11" t="s">
        <v>44</v>
      </c>
      <c r="J73" s="11" t="s">
        <v>45</v>
      </c>
      <c r="K73" s="11" t="s">
        <v>46</v>
      </c>
      <c r="L73" s="11" t="s">
        <v>47</v>
      </c>
      <c r="M73" s="11" t="s">
        <v>48</v>
      </c>
      <c r="N73" s="11" t="s">
        <v>49</v>
      </c>
      <c r="O73" s="11" t="s">
        <v>50</v>
      </c>
      <c r="P73" s="11" t="s">
        <v>51</v>
      </c>
      <c r="Q73" s="11" t="s">
        <v>52</v>
      </c>
      <c r="R73" s="11" t="s">
        <v>53</v>
      </c>
      <c r="S73" s="11" t="s">
        <v>54</v>
      </c>
      <c r="T73" s="11" t="s">
        <v>55</v>
      </c>
      <c r="U73" s="11" t="s">
        <v>56</v>
      </c>
      <c r="V73" s="11" t="s">
        <v>57</v>
      </c>
      <c r="W73" s="11" t="s">
        <v>58</v>
      </c>
      <c r="X73" s="11" t="s">
        <v>59</v>
      </c>
      <c r="Y73" s="11" t="s">
        <v>60</v>
      </c>
      <c r="Z73" s="11" t="s">
        <v>61</v>
      </c>
      <c r="AA73" s="11" t="s">
        <v>62</v>
      </c>
      <c r="AB73" s="11" t="s">
        <v>63</v>
      </c>
      <c r="AC73" s="11" t="s">
        <v>64</v>
      </c>
      <c r="AD73" s="11" t="s">
        <v>65</v>
      </c>
      <c r="AE73" s="11" t="s">
        <v>66</v>
      </c>
      <c r="AF73" s="11" t="s">
        <v>67</v>
      </c>
      <c r="AG73" s="11" t="s">
        <v>68</v>
      </c>
      <c r="AH73" s="11" t="s">
        <v>69</v>
      </c>
      <c r="AI73" s="11" t="s">
        <v>70</v>
      </c>
      <c r="AJ73" s="11" t="s">
        <v>71</v>
      </c>
      <c r="AK73" s="11" t="s">
        <v>72</v>
      </c>
      <c r="AL73" s="11" t="s">
        <v>73</v>
      </c>
      <c r="AM73" s="11" t="s">
        <v>74</v>
      </c>
    </row>
    <row r="74" spans="2:39" x14ac:dyDescent="0.2">
      <c r="B74" s="22" t="str">
        <f>'Wzorzec kategorii'!B36</f>
        <v>Jedzenie dom</v>
      </c>
      <c r="C74" s="19">
        <v>0</v>
      </c>
      <c r="D74" s="20">
        <f>SUM(Tabela330132[#This Row])</f>
        <v>0</v>
      </c>
      <c r="E74" s="20">
        <f t="shared" si="3"/>
        <v>0</v>
      </c>
      <c r="F74" s="21" t="str">
        <f t="shared" si="4"/>
        <v/>
      </c>
      <c r="G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2:39" x14ac:dyDescent="0.2">
      <c r="B75" s="22" t="str">
        <f>'Wzorzec kategorii'!B37</f>
        <v>Jedzenie miasto</v>
      </c>
      <c r="C75" s="19">
        <v>0</v>
      </c>
      <c r="D75" s="20">
        <f>SUM(Tabela330132[#This Row])</f>
        <v>0</v>
      </c>
      <c r="E75" s="20">
        <f t="shared" si="3"/>
        <v>0</v>
      </c>
      <c r="F75" s="21" t="str">
        <f t="shared" si="4"/>
        <v/>
      </c>
      <c r="G75" s="2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:39" x14ac:dyDescent="0.2">
      <c r="B76" s="22" t="str">
        <f>'Wzorzec kategorii'!B38</f>
        <v>Jedzenie praca</v>
      </c>
      <c r="C76" s="19">
        <v>0</v>
      </c>
      <c r="D76" s="20">
        <f>SUM(Tabela330132[#This Row])</f>
        <v>0</v>
      </c>
      <c r="E76" s="20">
        <f t="shared" si="3"/>
        <v>0</v>
      </c>
      <c r="F76" s="21" t="str">
        <f t="shared" si="4"/>
        <v/>
      </c>
      <c r="G76" s="2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2:39" x14ac:dyDescent="0.2">
      <c r="B77" s="22" t="str">
        <f>'Wzorzec kategorii'!B39</f>
        <v>Alkohol</v>
      </c>
      <c r="C77" s="19">
        <v>0</v>
      </c>
      <c r="D77" s="20">
        <f>SUM(Tabela330132[#This Row])</f>
        <v>0</v>
      </c>
      <c r="E77" s="20">
        <f t="shared" si="3"/>
        <v>0</v>
      </c>
      <c r="F77" s="21" t="str">
        <f t="shared" si="4"/>
        <v/>
      </c>
      <c r="G77" s="2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2:39" x14ac:dyDescent="0.2">
      <c r="B78" s="22" t="str">
        <f>'Wzorzec kategorii'!B40</f>
        <v>Inne</v>
      </c>
      <c r="C78" s="19">
        <v>0</v>
      </c>
      <c r="D78" s="20">
        <f>SUM(Tabela330132[#This Row])</f>
        <v>0</v>
      </c>
      <c r="E78" s="20">
        <f t="shared" si="3"/>
        <v>0</v>
      </c>
      <c r="F78" s="21" t="str">
        <f t="shared" si="4"/>
        <v/>
      </c>
      <c r="G78" s="2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:39" x14ac:dyDescent="0.2">
      <c r="B79" s="22" t="str">
        <f>'Wzorzec kategorii'!B41</f>
        <v>.</v>
      </c>
      <c r="C79" s="19">
        <v>0</v>
      </c>
      <c r="D79" s="20">
        <f>SUM(Tabela330132[#This Row])</f>
        <v>0</v>
      </c>
      <c r="E79" s="20">
        <f t="shared" si="3"/>
        <v>0</v>
      </c>
      <c r="F79" s="53" t="str">
        <f t="shared" si="4"/>
        <v/>
      </c>
      <c r="G79" s="5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:39" x14ac:dyDescent="0.2">
      <c r="B80" s="22" t="str">
        <f>'Wzorzec kategorii'!B42</f>
        <v>.</v>
      </c>
      <c r="C80" s="19">
        <v>0</v>
      </c>
      <c r="D80" s="20">
        <f>SUM(Tabela330132[#This Row])</f>
        <v>0</v>
      </c>
      <c r="E80" s="20">
        <f t="shared" si="3"/>
        <v>0</v>
      </c>
      <c r="F80" s="53" t="str">
        <f t="shared" si="4"/>
        <v/>
      </c>
      <c r="G80" s="5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2:41" x14ac:dyDescent="0.2">
      <c r="B81" s="22" t="str">
        <f>'Wzorzec kategorii'!B43</f>
        <v>.</v>
      </c>
      <c r="C81" s="19">
        <v>0</v>
      </c>
      <c r="D81" s="20">
        <f>SUM(Tabela330132[#This Row])</f>
        <v>0</v>
      </c>
      <c r="E81" s="20">
        <f t="shared" si="3"/>
        <v>0</v>
      </c>
      <c r="F81" s="53" t="str">
        <f t="shared" si="4"/>
        <v/>
      </c>
      <c r="G81" s="5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2:41" x14ac:dyDescent="0.2">
      <c r="B82" s="22" t="str">
        <f>'Wzorzec kategorii'!B44</f>
        <v>.</v>
      </c>
      <c r="C82" s="19">
        <v>0</v>
      </c>
      <c r="D82" s="20">
        <f>SUM(Tabela330132[#This Row])</f>
        <v>0</v>
      </c>
      <c r="E82" s="20">
        <f t="shared" si="3"/>
        <v>0</v>
      </c>
      <c r="F82" s="53" t="str">
        <f t="shared" si="4"/>
        <v/>
      </c>
      <c r="G82" s="5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2:41" x14ac:dyDescent="0.2">
      <c r="B83" s="22" t="str">
        <f>'Wzorzec kategorii'!B45</f>
        <v>.</v>
      </c>
      <c r="C83" s="19">
        <v>0</v>
      </c>
      <c r="D83" s="20">
        <f>SUM(Tabela330132[#This Row])</f>
        <v>0</v>
      </c>
      <c r="E83" s="20">
        <f t="shared" si="3"/>
        <v>0</v>
      </c>
      <c r="F83" s="53" t="str">
        <f t="shared" si="4"/>
        <v/>
      </c>
      <c r="G83" s="5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2:41" x14ac:dyDescent="0.2">
      <c r="B84" s="5" t="s">
        <v>30</v>
      </c>
      <c r="C84" s="6"/>
      <c r="D84" s="4"/>
      <c r="E84" s="4"/>
      <c r="F84" s="4"/>
      <c r="G84" s="4"/>
      <c r="I84" s="5" t="s">
        <v>30</v>
      </c>
    </row>
    <row r="85" spans="2:41" x14ac:dyDescent="0.2">
      <c r="B85" s="14" t="str">
        <f>'Wzorzec kategorii'!B47</f>
        <v>Mieszkanie / dom</v>
      </c>
      <c r="C85" s="15">
        <f>SUM(Tabela431133[[#All],[Kolumna2]])</f>
        <v>0</v>
      </c>
      <c r="D85" s="16">
        <f>SUM(Tabela431133[[#All],[Kolumna3]])</f>
        <v>0</v>
      </c>
      <c r="E85" s="15">
        <f>C85-D85</f>
        <v>0</v>
      </c>
      <c r="F85" s="17" t="str">
        <f>IFERROR(D85/C85,"")</f>
        <v/>
      </c>
      <c r="G85" s="23"/>
      <c r="I85" s="11" t="s">
        <v>44</v>
      </c>
      <c r="J85" s="11" t="s">
        <v>45</v>
      </c>
      <c r="K85" s="11" t="s">
        <v>46</v>
      </c>
      <c r="L85" s="11" t="s">
        <v>47</v>
      </c>
      <c r="M85" s="11" t="s">
        <v>48</v>
      </c>
      <c r="N85" s="11" t="s">
        <v>49</v>
      </c>
      <c r="O85" s="11" t="s">
        <v>50</v>
      </c>
      <c r="P85" s="11" t="s">
        <v>51</v>
      </c>
      <c r="Q85" s="11" t="s">
        <v>52</v>
      </c>
      <c r="R85" s="11" t="s">
        <v>53</v>
      </c>
      <c r="S85" s="11" t="s">
        <v>54</v>
      </c>
      <c r="T85" s="11" t="s">
        <v>55</v>
      </c>
      <c r="U85" s="11" t="s">
        <v>56</v>
      </c>
      <c r="V85" s="11" t="s">
        <v>57</v>
      </c>
      <c r="W85" s="11" t="s">
        <v>58</v>
      </c>
      <c r="X85" s="11" t="s">
        <v>59</v>
      </c>
      <c r="Y85" s="11" t="s">
        <v>60</v>
      </c>
      <c r="Z85" s="11" t="s">
        <v>61</v>
      </c>
      <c r="AA85" s="11" t="s">
        <v>62</v>
      </c>
      <c r="AB85" s="11" t="s">
        <v>63</v>
      </c>
      <c r="AC85" s="11" t="s">
        <v>64</v>
      </c>
      <c r="AD85" s="11" t="s">
        <v>65</v>
      </c>
      <c r="AE85" s="11" t="s">
        <v>66</v>
      </c>
      <c r="AF85" s="11" t="s">
        <v>67</v>
      </c>
      <c r="AG85" s="11" t="s">
        <v>68</v>
      </c>
      <c r="AH85" s="11" t="s">
        <v>69</v>
      </c>
      <c r="AI85" s="11" t="s">
        <v>70</v>
      </c>
      <c r="AJ85" s="11" t="s">
        <v>71</v>
      </c>
      <c r="AK85" s="11" t="s">
        <v>72</v>
      </c>
      <c r="AL85" s="11" t="s">
        <v>73</v>
      </c>
      <c r="AM85" s="11" t="s">
        <v>74</v>
      </c>
      <c r="AN85" s="25"/>
      <c r="AO85" s="25"/>
    </row>
    <row r="86" spans="2:41" x14ac:dyDescent="0.2">
      <c r="B86" s="22" t="str">
        <f>'Wzorzec kategorii'!B48</f>
        <v>Czynsz</v>
      </c>
      <c r="C86" s="19">
        <v>0</v>
      </c>
      <c r="D86" s="20">
        <f>SUM(Tabela1841143[#This Row])</f>
        <v>0</v>
      </c>
      <c r="E86" s="20">
        <f t="shared" ref="E86:E95" si="5">C86-D86</f>
        <v>0</v>
      </c>
      <c r="F86" s="21" t="str">
        <f t="shared" ref="F86:F95" si="6">IFERROR(D86/C86,"")</f>
        <v/>
      </c>
      <c r="G86" s="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25"/>
      <c r="AO86" s="25"/>
    </row>
    <row r="87" spans="2:41" x14ac:dyDescent="0.2">
      <c r="B87" s="22" t="str">
        <f>'Wzorzec kategorii'!B49</f>
        <v>Woda i kanalizacja</v>
      </c>
      <c r="C87" s="19">
        <v>0</v>
      </c>
      <c r="D87" s="20">
        <f>SUM(Tabela1841143[#This Row])</f>
        <v>0</v>
      </c>
      <c r="E87" s="20">
        <f t="shared" si="5"/>
        <v>0</v>
      </c>
      <c r="F87" s="21" t="str">
        <f t="shared" si="6"/>
        <v/>
      </c>
      <c r="G87" s="2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25"/>
      <c r="AO87" s="25"/>
    </row>
    <row r="88" spans="2:41" x14ac:dyDescent="0.2">
      <c r="B88" s="22" t="str">
        <f>'Wzorzec kategorii'!B50</f>
        <v>Prąd</v>
      </c>
      <c r="C88" s="19">
        <v>0</v>
      </c>
      <c r="D88" s="20">
        <f>SUM(Tabela1841143[#This Row])</f>
        <v>0</v>
      </c>
      <c r="E88" s="20">
        <f t="shared" si="5"/>
        <v>0</v>
      </c>
      <c r="F88" s="21" t="str">
        <f t="shared" si="6"/>
        <v/>
      </c>
      <c r="G88" s="2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25"/>
      <c r="AO88" s="25"/>
    </row>
    <row r="89" spans="2:41" x14ac:dyDescent="0.2">
      <c r="B89" s="22" t="str">
        <f>'Wzorzec kategorii'!B51</f>
        <v>Gaz</v>
      </c>
      <c r="C89" s="19">
        <v>0</v>
      </c>
      <c r="D89" s="20">
        <f>SUM(Tabela1841143[#This Row])</f>
        <v>0</v>
      </c>
      <c r="E89" s="20">
        <f t="shared" si="5"/>
        <v>0</v>
      </c>
      <c r="F89" s="21" t="str">
        <f t="shared" si="6"/>
        <v/>
      </c>
      <c r="G89" s="2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25"/>
      <c r="AO89" s="25"/>
    </row>
    <row r="90" spans="2:41" x14ac:dyDescent="0.2">
      <c r="B90" s="22" t="str">
        <f>'Wzorzec kategorii'!B52</f>
        <v>Ogrzewanie</v>
      </c>
      <c r="C90" s="19">
        <v>0</v>
      </c>
      <c r="D90" s="20">
        <f>SUM(Tabela1841143[#This Row])</f>
        <v>0</v>
      </c>
      <c r="E90" s="20">
        <f t="shared" si="5"/>
        <v>0</v>
      </c>
      <c r="F90" s="21" t="str">
        <f t="shared" si="6"/>
        <v/>
      </c>
      <c r="G90" s="24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25"/>
      <c r="AO90" s="25"/>
    </row>
    <row r="91" spans="2:41" x14ac:dyDescent="0.2">
      <c r="B91" s="22" t="str">
        <f>'Wzorzec kategorii'!B53</f>
        <v>Wywóz śmieci</v>
      </c>
      <c r="C91" s="19">
        <v>0</v>
      </c>
      <c r="D91" s="20">
        <f>SUM(Tabela1841143[#This Row])</f>
        <v>0</v>
      </c>
      <c r="E91" s="20">
        <f t="shared" si="5"/>
        <v>0</v>
      </c>
      <c r="F91" s="21" t="str">
        <f t="shared" si="6"/>
        <v/>
      </c>
      <c r="G91" s="24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25"/>
      <c r="AO91" s="25"/>
    </row>
    <row r="92" spans="2:41" x14ac:dyDescent="0.2">
      <c r="B92" s="22" t="str">
        <f>'Wzorzec kategorii'!B54</f>
        <v>Konserwacja i naprawy</v>
      </c>
      <c r="C92" s="19">
        <v>0</v>
      </c>
      <c r="D92" s="20">
        <f>SUM(Tabela1841143[#This Row])</f>
        <v>0</v>
      </c>
      <c r="E92" s="20">
        <f t="shared" si="5"/>
        <v>0</v>
      </c>
      <c r="F92" s="21" t="str">
        <f t="shared" si="6"/>
        <v/>
      </c>
      <c r="G92" s="2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25"/>
      <c r="AO92" s="25"/>
    </row>
    <row r="93" spans="2:41" x14ac:dyDescent="0.2">
      <c r="B93" s="22" t="str">
        <f>'Wzorzec kategorii'!B55</f>
        <v>Wyposażenie</v>
      </c>
      <c r="C93" s="19">
        <v>0</v>
      </c>
      <c r="D93" s="20">
        <f>SUM(Tabela1841143[#This Row])</f>
        <v>0</v>
      </c>
      <c r="E93" s="20">
        <f t="shared" si="5"/>
        <v>0</v>
      </c>
      <c r="F93" s="21" t="str">
        <f t="shared" si="6"/>
        <v/>
      </c>
      <c r="G93" s="2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25"/>
      <c r="AO93" s="25"/>
    </row>
    <row r="94" spans="2:41" x14ac:dyDescent="0.2">
      <c r="B94" s="22" t="str">
        <f>'Wzorzec kategorii'!B56</f>
        <v>Ubezpieczenie nieruchomości</v>
      </c>
      <c r="C94" s="19">
        <v>0</v>
      </c>
      <c r="D94" s="20">
        <f>SUM(Tabela1841143[#This Row])</f>
        <v>0</v>
      </c>
      <c r="E94" s="20">
        <f t="shared" si="5"/>
        <v>0</v>
      </c>
      <c r="F94" s="21" t="str">
        <f t="shared" si="6"/>
        <v/>
      </c>
      <c r="G94" s="2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25"/>
      <c r="AO94" s="25"/>
    </row>
    <row r="95" spans="2:41" x14ac:dyDescent="0.2">
      <c r="B95" s="22" t="str">
        <f>'Wzorzec kategorii'!B57</f>
        <v>Inne</v>
      </c>
      <c r="C95" s="19">
        <v>0</v>
      </c>
      <c r="D95" s="20">
        <f>SUM(Tabela1841143[#This Row])</f>
        <v>0</v>
      </c>
      <c r="E95" s="20">
        <f t="shared" si="5"/>
        <v>0</v>
      </c>
      <c r="F95" s="21" t="str">
        <f t="shared" si="6"/>
        <v/>
      </c>
      <c r="G95" s="2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25"/>
      <c r="AO95" s="25"/>
    </row>
    <row r="96" spans="2:41" x14ac:dyDescent="0.2">
      <c r="B96" s="5" t="s">
        <v>30</v>
      </c>
      <c r="C96" s="6"/>
      <c r="D96" s="4"/>
      <c r="E96" s="4"/>
      <c r="F96" s="4"/>
      <c r="G96" s="4"/>
      <c r="I96" s="26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</row>
    <row r="97" spans="2:41" x14ac:dyDescent="0.2">
      <c r="B97" s="2" t="str">
        <f>'Wzorzec kategorii'!B59</f>
        <v>Transport</v>
      </c>
      <c r="C97" s="3">
        <f>SUM(Transport3130[[#All],[Kolumna2]])</f>
        <v>0</v>
      </c>
      <c r="D97" s="16">
        <f>SUM(Transport3130[[#All],[Kolumna3]])</f>
        <v>0</v>
      </c>
      <c r="E97" s="3">
        <f>C97-D97</f>
        <v>0</v>
      </c>
      <c r="F97" s="17" t="str">
        <f>IFERROR(D97/C97,"")</f>
        <v/>
      </c>
      <c r="G97" s="3"/>
      <c r="I97" s="11" t="s">
        <v>44</v>
      </c>
      <c r="J97" s="11" t="s">
        <v>45</v>
      </c>
      <c r="K97" s="11" t="s">
        <v>46</v>
      </c>
      <c r="L97" s="11" t="s">
        <v>47</v>
      </c>
      <c r="M97" s="11" t="s">
        <v>48</v>
      </c>
      <c r="N97" s="11" t="s">
        <v>49</v>
      </c>
      <c r="O97" s="11" t="s">
        <v>50</v>
      </c>
      <c r="P97" s="11" t="s">
        <v>51</v>
      </c>
      <c r="Q97" s="11" t="s">
        <v>52</v>
      </c>
      <c r="R97" s="11" t="s">
        <v>53</v>
      </c>
      <c r="S97" s="11" t="s">
        <v>54</v>
      </c>
      <c r="T97" s="11" t="s">
        <v>55</v>
      </c>
      <c r="U97" s="11" t="s">
        <v>56</v>
      </c>
      <c r="V97" s="11" t="s">
        <v>57</v>
      </c>
      <c r="W97" s="11" t="s">
        <v>58</v>
      </c>
      <c r="X97" s="11" t="s">
        <v>59</v>
      </c>
      <c r="Y97" s="11" t="s">
        <v>60</v>
      </c>
      <c r="Z97" s="11" t="s">
        <v>61</v>
      </c>
      <c r="AA97" s="11" t="s">
        <v>62</v>
      </c>
      <c r="AB97" s="11" t="s">
        <v>63</v>
      </c>
      <c r="AC97" s="11" t="s">
        <v>64</v>
      </c>
      <c r="AD97" s="11" t="s">
        <v>65</v>
      </c>
      <c r="AE97" s="11" t="s">
        <v>66</v>
      </c>
      <c r="AF97" s="11" t="s">
        <v>67</v>
      </c>
      <c r="AG97" s="11" t="s">
        <v>68</v>
      </c>
      <c r="AH97" s="11" t="s">
        <v>69</v>
      </c>
      <c r="AI97" s="11" t="s">
        <v>70</v>
      </c>
      <c r="AJ97" s="11" t="s">
        <v>71</v>
      </c>
      <c r="AK97" s="11" t="s">
        <v>72</v>
      </c>
      <c r="AL97" s="11" t="s">
        <v>73</v>
      </c>
      <c r="AM97" s="11" t="s">
        <v>74</v>
      </c>
      <c r="AN97" s="25"/>
      <c r="AO97" s="25"/>
    </row>
    <row r="98" spans="2:41" x14ac:dyDescent="0.2">
      <c r="B98" s="22" t="str">
        <f>'Wzorzec kategorii'!B60</f>
        <v>Paliwo do auta</v>
      </c>
      <c r="C98" s="19">
        <v>0</v>
      </c>
      <c r="D98" s="20">
        <f>SUM(Tabela1942144[#This Row])</f>
        <v>0</v>
      </c>
      <c r="E98" s="20">
        <f t="shared" ref="E98:E107" si="7">C98-D98</f>
        <v>0</v>
      </c>
      <c r="F98" s="21" t="str">
        <f t="shared" ref="F98:F107" si="8">IFERROR(D98/C98,"")</f>
        <v/>
      </c>
      <c r="G98" s="24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25"/>
      <c r="AO98" s="25"/>
    </row>
    <row r="99" spans="2:41" x14ac:dyDescent="0.2">
      <c r="B99" s="22" t="str">
        <f>'Wzorzec kategorii'!B61</f>
        <v>Przeglądy i naprawy auta</v>
      </c>
      <c r="C99" s="19">
        <v>0</v>
      </c>
      <c r="D99" s="20">
        <f>SUM(Tabela1942144[#This Row])</f>
        <v>0</v>
      </c>
      <c r="E99" s="20">
        <f t="shared" si="7"/>
        <v>0</v>
      </c>
      <c r="F99" s="21" t="str">
        <f t="shared" si="8"/>
        <v/>
      </c>
      <c r="G99" s="2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25"/>
      <c r="AO99" s="25"/>
    </row>
    <row r="100" spans="2:41" ht="30" x14ac:dyDescent="0.2">
      <c r="B100" s="22" t="str">
        <f>'Wzorzec kategorii'!B62</f>
        <v>Wyposażenie dodatkowe (opony)</v>
      </c>
      <c r="C100" s="19">
        <v>0</v>
      </c>
      <c r="D100" s="20">
        <f>SUM(Tabela1942144[#This Row])</f>
        <v>0</v>
      </c>
      <c r="E100" s="20">
        <f t="shared" si="7"/>
        <v>0</v>
      </c>
      <c r="F100" s="21" t="str">
        <f t="shared" si="8"/>
        <v/>
      </c>
      <c r="G100" s="2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25"/>
      <c r="AO100" s="25"/>
    </row>
    <row r="101" spans="2:41" x14ac:dyDescent="0.2">
      <c r="B101" s="22" t="str">
        <f>'Wzorzec kategorii'!B63</f>
        <v>Ubezpieczenie auta</v>
      </c>
      <c r="C101" s="19">
        <v>0</v>
      </c>
      <c r="D101" s="20">
        <f>SUM(Tabela1942144[#This Row])</f>
        <v>0</v>
      </c>
      <c r="E101" s="20">
        <f t="shared" si="7"/>
        <v>0</v>
      </c>
      <c r="F101" s="21" t="str">
        <f t="shared" si="8"/>
        <v/>
      </c>
      <c r="G101" s="2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25"/>
      <c r="AO101" s="25"/>
    </row>
    <row r="102" spans="2:41" x14ac:dyDescent="0.2">
      <c r="B102" s="22" t="str">
        <f>'Wzorzec kategorii'!B64</f>
        <v>Bilet komunikacji miejskiej</v>
      </c>
      <c r="C102" s="19">
        <v>0</v>
      </c>
      <c r="D102" s="20">
        <f>SUM(Tabela1942144[#This Row])</f>
        <v>0</v>
      </c>
      <c r="E102" s="20">
        <f t="shared" si="7"/>
        <v>0</v>
      </c>
      <c r="F102" s="21" t="str">
        <f t="shared" si="8"/>
        <v/>
      </c>
      <c r="G102" s="2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25"/>
      <c r="AO102" s="25"/>
    </row>
    <row r="103" spans="2:41" x14ac:dyDescent="0.2">
      <c r="B103" s="22" t="str">
        <f>'Wzorzec kategorii'!B65</f>
        <v>Bilet PKP, PKS</v>
      </c>
      <c r="C103" s="19">
        <v>0</v>
      </c>
      <c r="D103" s="20">
        <f>SUM(Tabela1942144[#This Row])</f>
        <v>0</v>
      </c>
      <c r="E103" s="20">
        <f t="shared" si="7"/>
        <v>0</v>
      </c>
      <c r="F103" s="21" t="str">
        <f t="shared" si="8"/>
        <v/>
      </c>
      <c r="G103" s="24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25"/>
      <c r="AO103" s="25"/>
    </row>
    <row r="104" spans="2:41" x14ac:dyDescent="0.2">
      <c r="B104" s="22" t="str">
        <f>'Wzorzec kategorii'!B66</f>
        <v>Taxi</v>
      </c>
      <c r="C104" s="19">
        <v>0</v>
      </c>
      <c r="D104" s="20">
        <f>SUM(Tabela1942144[#This Row])</f>
        <v>0</v>
      </c>
      <c r="E104" s="20">
        <f t="shared" si="7"/>
        <v>0</v>
      </c>
      <c r="F104" s="21" t="str">
        <f t="shared" si="8"/>
        <v/>
      </c>
      <c r="G104" s="24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25"/>
      <c r="AO104" s="25"/>
    </row>
    <row r="105" spans="2:41" x14ac:dyDescent="0.2">
      <c r="B105" s="22" t="str">
        <f>'Wzorzec kategorii'!B67</f>
        <v>Inne</v>
      </c>
      <c r="C105" s="19">
        <v>0</v>
      </c>
      <c r="D105" s="20">
        <f>SUM(Tabela1942144[#This Row])</f>
        <v>0</v>
      </c>
      <c r="E105" s="20">
        <f t="shared" si="7"/>
        <v>0</v>
      </c>
      <c r="F105" s="21" t="str">
        <f t="shared" si="8"/>
        <v/>
      </c>
      <c r="G105" s="2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25"/>
      <c r="AO105" s="25"/>
    </row>
    <row r="106" spans="2:41" x14ac:dyDescent="0.2">
      <c r="B106" s="22" t="str">
        <f>'Wzorzec kategorii'!B68</f>
        <v>.</v>
      </c>
      <c r="C106" s="19">
        <v>0</v>
      </c>
      <c r="D106" s="20">
        <f>SUM(Tabela1942144[#This Row])</f>
        <v>0</v>
      </c>
      <c r="E106" s="20">
        <f t="shared" si="7"/>
        <v>0</v>
      </c>
      <c r="F106" s="53" t="str">
        <f t="shared" si="8"/>
        <v/>
      </c>
      <c r="G106" s="54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25"/>
      <c r="AO106" s="25"/>
    </row>
    <row r="107" spans="2:41" x14ac:dyDescent="0.2">
      <c r="B107" s="22" t="str">
        <f>'Wzorzec kategorii'!B69</f>
        <v>.</v>
      </c>
      <c r="C107" s="19">
        <v>0</v>
      </c>
      <c r="D107" s="20">
        <f>SUM(Tabela1942144[#This Row])</f>
        <v>0</v>
      </c>
      <c r="E107" s="20">
        <f t="shared" si="7"/>
        <v>0</v>
      </c>
      <c r="F107" s="53" t="str">
        <f t="shared" si="8"/>
        <v/>
      </c>
      <c r="G107" s="54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25"/>
      <c r="AO107" s="25"/>
    </row>
    <row r="108" spans="2:41" x14ac:dyDescent="0.2">
      <c r="B108" s="5" t="s">
        <v>30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</row>
    <row r="109" spans="2:41" x14ac:dyDescent="0.2">
      <c r="B109" s="2" t="str">
        <f>'Wzorzec kategorii'!B71</f>
        <v>Telekomunikacja</v>
      </c>
      <c r="C109" s="3">
        <f>SUM(Tabela832134[[#All],[Kolumna2]])</f>
        <v>0</v>
      </c>
      <c r="D109" s="16">
        <f>SUM(Tabela832134[[#All],[Kolumna3]])</f>
        <v>0</v>
      </c>
      <c r="E109" s="3">
        <f>C109-D109</f>
        <v>0</v>
      </c>
      <c r="F109" s="17" t="str">
        <f t="shared" ref="F109:F119" si="9">IFERROR(D109/C109,"")</f>
        <v/>
      </c>
      <c r="G109" s="3"/>
      <c r="I109" s="11" t="s">
        <v>44</v>
      </c>
      <c r="J109" s="11" t="s">
        <v>45</v>
      </c>
      <c r="K109" s="11" t="s">
        <v>46</v>
      </c>
      <c r="L109" s="11" t="s">
        <v>47</v>
      </c>
      <c r="M109" s="11" t="s">
        <v>48</v>
      </c>
      <c r="N109" s="11" t="s">
        <v>49</v>
      </c>
      <c r="O109" s="11" t="s">
        <v>50</v>
      </c>
      <c r="P109" s="11" t="s">
        <v>51</v>
      </c>
      <c r="Q109" s="11" t="s">
        <v>52</v>
      </c>
      <c r="R109" s="11" t="s">
        <v>53</v>
      </c>
      <c r="S109" s="11" t="s">
        <v>54</v>
      </c>
      <c r="T109" s="11" t="s">
        <v>55</v>
      </c>
      <c r="U109" s="11" t="s">
        <v>56</v>
      </c>
      <c r="V109" s="11" t="s">
        <v>57</v>
      </c>
      <c r="W109" s="11" t="s">
        <v>58</v>
      </c>
      <c r="X109" s="11" t="s">
        <v>59</v>
      </c>
      <c r="Y109" s="11" t="s">
        <v>60</v>
      </c>
      <c r="Z109" s="11" t="s">
        <v>61</v>
      </c>
      <c r="AA109" s="11" t="s">
        <v>62</v>
      </c>
      <c r="AB109" s="11" t="s">
        <v>63</v>
      </c>
      <c r="AC109" s="11" t="s">
        <v>64</v>
      </c>
      <c r="AD109" s="11" t="s">
        <v>65</v>
      </c>
      <c r="AE109" s="11" t="s">
        <v>66</v>
      </c>
      <c r="AF109" s="11" t="s">
        <v>67</v>
      </c>
      <c r="AG109" s="11" t="s">
        <v>68</v>
      </c>
      <c r="AH109" s="11" t="s">
        <v>69</v>
      </c>
      <c r="AI109" s="11" t="s">
        <v>70</v>
      </c>
      <c r="AJ109" s="11" t="s">
        <v>71</v>
      </c>
      <c r="AK109" s="11" t="s">
        <v>72</v>
      </c>
      <c r="AL109" s="11" t="s">
        <v>73</v>
      </c>
      <c r="AM109" s="11" t="s">
        <v>74</v>
      </c>
      <c r="AN109" s="25"/>
      <c r="AO109" s="25"/>
    </row>
    <row r="110" spans="2:41" x14ac:dyDescent="0.2">
      <c r="B110" s="22" t="str">
        <f>'Wzorzec kategorii'!B72</f>
        <v>Telefon 1</v>
      </c>
      <c r="C110" s="19">
        <v>0</v>
      </c>
      <c r="D110" s="20">
        <f>SUM(Tabela192143145[#This Row])</f>
        <v>0</v>
      </c>
      <c r="E110" s="20">
        <f t="shared" ref="E110:E119" si="10">C110-D110</f>
        <v>0</v>
      </c>
      <c r="F110" s="21" t="str">
        <f t="shared" si="9"/>
        <v/>
      </c>
      <c r="G110" s="24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25"/>
      <c r="AO110" s="25"/>
    </row>
    <row r="111" spans="2:41" x14ac:dyDescent="0.2">
      <c r="B111" s="22" t="str">
        <f>'Wzorzec kategorii'!B73</f>
        <v>Telefon 2</v>
      </c>
      <c r="C111" s="19">
        <v>0</v>
      </c>
      <c r="D111" s="20">
        <f>SUM(Tabela192143145[#This Row])</f>
        <v>0</v>
      </c>
      <c r="E111" s="20">
        <f t="shared" si="10"/>
        <v>0</v>
      </c>
      <c r="F111" s="21" t="str">
        <f t="shared" si="9"/>
        <v/>
      </c>
      <c r="G111" s="24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25"/>
      <c r="AO111" s="25"/>
    </row>
    <row r="112" spans="2:41" x14ac:dyDescent="0.2">
      <c r="B112" s="22" t="str">
        <f>'Wzorzec kategorii'!B74</f>
        <v>TV</v>
      </c>
      <c r="C112" s="19">
        <v>0</v>
      </c>
      <c r="D112" s="20">
        <f>SUM(Tabela192143145[#This Row])</f>
        <v>0</v>
      </c>
      <c r="E112" s="20">
        <f t="shared" si="10"/>
        <v>0</v>
      </c>
      <c r="F112" s="21" t="str">
        <f t="shared" si="9"/>
        <v/>
      </c>
      <c r="G112" s="2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5"/>
      <c r="AO112" s="25"/>
    </row>
    <row r="113" spans="2:41" x14ac:dyDescent="0.2">
      <c r="B113" s="22" t="str">
        <f>'Wzorzec kategorii'!B75</f>
        <v>Internet</v>
      </c>
      <c r="C113" s="19">
        <v>0</v>
      </c>
      <c r="D113" s="20">
        <f>SUM(Tabela192143145[#This Row])</f>
        <v>0</v>
      </c>
      <c r="E113" s="20">
        <f t="shared" si="10"/>
        <v>0</v>
      </c>
      <c r="F113" s="21" t="str">
        <f t="shared" si="9"/>
        <v/>
      </c>
      <c r="G113" s="2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25"/>
      <c r="AO113" s="25"/>
    </row>
    <row r="114" spans="2:41" x14ac:dyDescent="0.2">
      <c r="B114" s="22" t="str">
        <f>'Wzorzec kategorii'!B76</f>
        <v>Inne</v>
      </c>
      <c r="C114" s="19">
        <v>0</v>
      </c>
      <c r="D114" s="20">
        <f>SUM(Tabela192143145[#This Row])</f>
        <v>0</v>
      </c>
      <c r="E114" s="20">
        <f t="shared" si="10"/>
        <v>0</v>
      </c>
      <c r="F114" s="21" t="str">
        <f t="shared" si="9"/>
        <v/>
      </c>
      <c r="G114" s="2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25"/>
      <c r="AO114" s="25"/>
    </row>
    <row r="115" spans="2:41" x14ac:dyDescent="0.2">
      <c r="B115" s="22" t="str">
        <f>'Wzorzec kategorii'!B77</f>
        <v>.</v>
      </c>
      <c r="C115" s="19">
        <v>0</v>
      </c>
      <c r="D115" s="20">
        <f>SUM(Tabela192143145[#This Row])</f>
        <v>0</v>
      </c>
      <c r="E115" s="20">
        <f t="shared" si="10"/>
        <v>0</v>
      </c>
      <c r="F115" s="53" t="str">
        <f t="shared" si="9"/>
        <v/>
      </c>
      <c r="G115" s="54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25"/>
      <c r="AO115" s="25"/>
    </row>
    <row r="116" spans="2:41" x14ac:dyDescent="0.2">
      <c r="B116" s="22" t="str">
        <f>'Wzorzec kategorii'!B78</f>
        <v>.</v>
      </c>
      <c r="C116" s="19">
        <v>0</v>
      </c>
      <c r="D116" s="20">
        <f>SUM(Tabela192143145[#This Row])</f>
        <v>0</v>
      </c>
      <c r="E116" s="20">
        <f t="shared" si="10"/>
        <v>0</v>
      </c>
      <c r="F116" s="53" t="str">
        <f t="shared" si="9"/>
        <v/>
      </c>
      <c r="G116" s="54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25"/>
      <c r="AO116" s="25"/>
    </row>
    <row r="117" spans="2:41" x14ac:dyDescent="0.2">
      <c r="B117" s="22" t="str">
        <f>'Wzorzec kategorii'!B79</f>
        <v>.</v>
      </c>
      <c r="C117" s="19">
        <v>0</v>
      </c>
      <c r="D117" s="20">
        <f>SUM(Tabela192143145[#This Row])</f>
        <v>0</v>
      </c>
      <c r="E117" s="20">
        <f t="shared" si="10"/>
        <v>0</v>
      </c>
      <c r="F117" s="53" t="str">
        <f t="shared" si="9"/>
        <v/>
      </c>
      <c r="G117" s="54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25"/>
      <c r="AO117" s="25"/>
    </row>
    <row r="118" spans="2:41" x14ac:dyDescent="0.2">
      <c r="B118" s="22" t="str">
        <f>'Wzorzec kategorii'!B80</f>
        <v>.</v>
      </c>
      <c r="C118" s="19">
        <v>0</v>
      </c>
      <c r="D118" s="20">
        <f>SUM(Tabela192143145[#This Row])</f>
        <v>0</v>
      </c>
      <c r="E118" s="20">
        <f t="shared" si="10"/>
        <v>0</v>
      </c>
      <c r="F118" s="53" t="str">
        <f t="shared" si="9"/>
        <v/>
      </c>
      <c r="G118" s="54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25"/>
      <c r="AO118" s="25"/>
    </row>
    <row r="119" spans="2:41" x14ac:dyDescent="0.2">
      <c r="B119" s="22" t="str">
        <f>'Wzorzec kategorii'!B81</f>
        <v>.</v>
      </c>
      <c r="C119" s="19">
        <v>0</v>
      </c>
      <c r="D119" s="20">
        <f>SUM(Tabela192143145[#This Row])</f>
        <v>0</v>
      </c>
      <c r="E119" s="20">
        <f t="shared" si="10"/>
        <v>0</v>
      </c>
      <c r="F119" s="53" t="str">
        <f t="shared" si="9"/>
        <v/>
      </c>
      <c r="G119" s="54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25"/>
      <c r="AO119" s="25"/>
    </row>
    <row r="120" spans="2:41" x14ac:dyDescent="0.2"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</row>
    <row r="121" spans="2:41" x14ac:dyDescent="0.2">
      <c r="B121" s="2" t="str">
        <f>'Wzorzec kategorii'!B83</f>
        <v>Opieka zdrowotna</v>
      </c>
      <c r="C121" s="3">
        <f>SUM(Tabela933135[[#All],[Kolumna2]])</f>
        <v>0</v>
      </c>
      <c r="D121" s="16">
        <f>SUM(Tabela933135[[#All],[Kolumna3]])</f>
        <v>0</v>
      </c>
      <c r="E121" s="3">
        <f>C121-D121</f>
        <v>0</v>
      </c>
      <c r="F121" s="17" t="str">
        <f>IFERROR(D121/C121,"")</f>
        <v/>
      </c>
      <c r="G121" s="3"/>
      <c r="I121" s="11" t="s">
        <v>44</v>
      </c>
      <c r="J121" s="11" t="s">
        <v>45</v>
      </c>
      <c r="K121" s="11" t="s">
        <v>46</v>
      </c>
      <c r="L121" s="11" t="s">
        <v>47</v>
      </c>
      <c r="M121" s="11" t="s">
        <v>48</v>
      </c>
      <c r="N121" s="11" t="s">
        <v>49</v>
      </c>
      <c r="O121" s="11" t="s">
        <v>50</v>
      </c>
      <c r="P121" s="11" t="s">
        <v>51</v>
      </c>
      <c r="Q121" s="11" t="s">
        <v>52</v>
      </c>
      <c r="R121" s="11" t="s">
        <v>53</v>
      </c>
      <c r="S121" s="11" t="s">
        <v>54</v>
      </c>
      <c r="T121" s="11" t="s">
        <v>55</v>
      </c>
      <c r="U121" s="11" t="s">
        <v>56</v>
      </c>
      <c r="V121" s="11" t="s">
        <v>57</v>
      </c>
      <c r="W121" s="11" t="s">
        <v>58</v>
      </c>
      <c r="X121" s="11" t="s">
        <v>59</v>
      </c>
      <c r="Y121" s="11" t="s">
        <v>60</v>
      </c>
      <c r="Z121" s="11" t="s">
        <v>61</v>
      </c>
      <c r="AA121" s="11" t="s">
        <v>62</v>
      </c>
      <c r="AB121" s="11" t="s">
        <v>63</v>
      </c>
      <c r="AC121" s="11" t="s">
        <v>64</v>
      </c>
      <c r="AD121" s="11" t="s">
        <v>65</v>
      </c>
      <c r="AE121" s="11" t="s">
        <v>66</v>
      </c>
      <c r="AF121" s="11" t="s">
        <v>67</v>
      </c>
      <c r="AG121" s="11" t="s">
        <v>68</v>
      </c>
      <c r="AH121" s="11" t="s">
        <v>69</v>
      </c>
      <c r="AI121" s="11" t="s">
        <v>70</v>
      </c>
      <c r="AJ121" s="11" t="s">
        <v>71</v>
      </c>
      <c r="AK121" s="11" t="s">
        <v>72</v>
      </c>
      <c r="AL121" s="11" t="s">
        <v>73</v>
      </c>
      <c r="AM121" s="11" t="s">
        <v>74</v>
      </c>
      <c r="AN121" s="25"/>
      <c r="AO121" s="25"/>
    </row>
    <row r="122" spans="2:41" x14ac:dyDescent="0.2">
      <c r="B122" s="22" t="str">
        <f>'Wzorzec kategorii'!B84</f>
        <v>Lekarz</v>
      </c>
      <c r="C122" s="19">
        <v>0</v>
      </c>
      <c r="D122" s="20">
        <f>SUM(Tabela19212547149[#This Row])</f>
        <v>0</v>
      </c>
      <c r="E122" s="20">
        <f t="shared" ref="E122:E131" si="11">C122-D122</f>
        <v>0</v>
      </c>
      <c r="F122" s="21" t="str">
        <f>IFERROR(D122/C122,"")</f>
        <v/>
      </c>
      <c r="G122" s="2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25"/>
      <c r="AO122" s="25"/>
    </row>
    <row r="123" spans="2:41" x14ac:dyDescent="0.2">
      <c r="B123" s="22" t="str">
        <f>'Wzorzec kategorii'!B85</f>
        <v>Badania</v>
      </c>
      <c r="C123" s="19">
        <v>0</v>
      </c>
      <c r="D123" s="20">
        <f>SUM(Tabela19212547149[#This Row])</f>
        <v>0</v>
      </c>
      <c r="E123" s="20">
        <f t="shared" si="11"/>
        <v>0</v>
      </c>
      <c r="F123" s="21" t="str">
        <f>IFERROR(D123/C123,"")</f>
        <v/>
      </c>
      <c r="G123" s="2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25"/>
      <c r="AO123" s="25"/>
    </row>
    <row r="124" spans="2:41" x14ac:dyDescent="0.2">
      <c r="B124" s="22" t="str">
        <f>'Wzorzec kategorii'!B86</f>
        <v>Lekarstwa</v>
      </c>
      <c r="C124" s="19">
        <v>0</v>
      </c>
      <c r="D124" s="20">
        <f>SUM(Tabela19212547149[#This Row])</f>
        <v>0</v>
      </c>
      <c r="E124" s="20">
        <f t="shared" si="11"/>
        <v>0</v>
      </c>
      <c r="F124" s="21" t="str">
        <f>IFERROR(D124/C124,"")</f>
        <v/>
      </c>
      <c r="G124" s="2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25"/>
      <c r="AO124" s="25"/>
    </row>
    <row r="125" spans="2:41" x14ac:dyDescent="0.2">
      <c r="B125" s="22" t="str">
        <f>'Wzorzec kategorii'!B87</f>
        <v>Inne</v>
      </c>
      <c r="C125" s="19">
        <v>0</v>
      </c>
      <c r="D125" s="20">
        <f>SUM(Tabela19212547149[#This Row])</f>
        <v>0</v>
      </c>
      <c r="E125" s="20">
        <f t="shared" si="11"/>
        <v>0</v>
      </c>
      <c r="F125" s="21" t="str">
        <f>IFERROR(D125/C125,"")</f>
        <v/>
      </c>
      <c r="G125" s="24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25"/>
      <c r="AO125" s="25"/>
    </row>
    <row r="126" spans="2:41" x14ac:dyDescent="0.2">
      <c r="B126" s="50" t="str">
        <f>'Wzorzec kategorii'!B88</f>
        <v>.</v>
      </c>
      <c r="C126" s="19">
        <v>0</v>
      </c>
      <c r="D126" s="20">
        <f>SUM(Tabela19212547149[#This Row])</f>
        <v>0</v>
      </c>
      <c r="E126" s="20">
        <f t="shared" si="11"/>
        <v>0</v>
      </c>
      <c r="F126" s="53" t="str">
        <f t="shared" ref="F126:F131" si="12">IFERROR(D126/C126,"")</f>
        <v/>
      </c>
      <c r="G126" s="54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25"/>
      <c r="AO126" s="25"/>
    </row>
    <row r="127" spans="2:41" x14ac:dyDescent="0.2">
      <c r="B127" s="50" t="str">
        <f>'Wzorzec kategorii'!B89</f>
        <v>.</v>
      </c>
      <c r="C127" s="19">
        <v>0</v>
      </c>
      <c r="D127" s="20">
        <f>SUM(Tabela19212547149[#This Row])</f>
        <v>0</v>
      </c>
      <c r="E127" s="20">
        <f t="shared" si="11"/>
        <v>0</v>
      </c>
      <c r="F127" s="53" t="str">
        <f t="shared" si="12"/>
        <v/>
      </c>
      <c r="G127" s="54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25"/>
      <c r="AO127" s="25"/>
    </row>
    <row r="128" spans="2:41" x14ac:dyDescent="0.2">
      <c r="B128" s="50" t="str">
        <f>'Wzorzec kategorii'!B90</f>
        <v>.</v>
      </c>
      <c r="C128" s="19">
        <v>0</v>
      </c>
      <c r="D128" s="20">
        <f>SUM(Tabela19212547149[#This Row])</f>
        <v>0</v>
      </c>
      <c r="E128" s="20">
        <f t="shared" si="11"/>
        <v>0</v>
      </c>
      <c r="F128" s="53" t="str">
        <f t="shared" si="12"/>
        <v/>
      </c>
      <c r="G128" s="54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25"/>
      <c r="AO128" s="25"/>
    </row>
    <row r="129" spans="2:41" x14ac:dyDescent="0.2">
      <c r="B129" s="50" t="str">
        <f>'Wzorzec kategorii'!B91</f>
        <v>.</v>
      </c>
      <c r="C129" s="19">
        <v>0</v>
      </c>
      <c r="D129" s="20">
        <f>SUM(Tabela19212547149[#This Row])</f>
        <v>0</v>
      </c>
      <c r="E129" s="20">
        <f t="shared" si="11"/>
        <v>0</v>
      </c>
      <c r="F129" s="53" t="str">
        <f t="shared" si="12"/>
        <v/>
      </c>
      <c r="G129" s="54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25"/>
      <c r="AO129" s="25"/>
    </row>
    <row r="130" spans="2:41" x14ac:dyDescent="0.2">
      <c r="B130" s="50" t="str">
        <f>'Wzorzec kategorii'!B92</f>
        <v>.</v>
      </c>
      <c r="C130" s="19">
        <v>0</v>
      </c>
      <c r="D130" s="20">
        <f>SUM(Tabela19212547149[#This Row])</f>
        <v>0</v>
      </c>
      <c r="E130" s="20">
        <f t="shared" si="11"/>
        <v>0</v>
      </c>
      <c r="F130" s="53" t="str">
        <f t="shared" si="12"/>
        <v/>
      </c>
      <c r="G130" s="54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25"/>
      <c r="AO130" s="25"/>
    </row>
    <row r="131" spans="2:41" x14ac:dyDescent="0.2">
      <c r="B131" s="50" t="str">
        <f>'Wzorzec kategorii'!B93</f>
        <v>.</v>
      </c>
      <c r="C131" s="19">
        <v>0</v>
      </c>
      <c r="D131" s="20">
        <f>SUM(Tabela19212547149[#This Row])</f>
        <v>0</v>
      </c>
      <c r="E131" s="20">
        <f t="shared" si="11"/>
        <v>0</v>
      </c>
      <c r="F131" s="53" t="str">
        <f t="shared" si="12"/>
        <v/>
      </c>
      <c r="G131" s="54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25"/>
      <c r="AO131" s="25"/>
    </row>
    <row r="132" spans="2:41" x14ac:dyDescent="0.2">
      <c r="B132" s="13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</row>
    <row r="133" spans="2:41" x14ac:dyDescent="0.2">
      <c r="B133" s="2" t="str">
        <f>'Wzorzec kategorii'!B95</f>
        <v>Ubranie</v>
      </c>
      <c r="C133" s="3">
        <f>SUM(Tabela1034136[[#All],[Kolumna2]])</f>
        <v>0</v>
      </c>
      <c r="D133" s="16">
        <f>SUM(Tabela1034136[[#All],[Kolumna3]])</f>
        <v>0</v>
      </c>
      <c r="E133" s="3">
        <f>C133-D133</f>
        <v>0</v>
      </c>
      <c r="F133" s="17" t="str">
        <f t="shared" ref="F133:F143" si="13">IFERROR(D133/C133,"")</f>
        <v/>
      </c>
      <c r="G133" s="3"/>
      <c r="I133" s="11" t="s">
        <v>44</v>
      </c>
      <c r="J133" s="11" t="s">
        <v>45</v>
      </c>
      <c r="K133" s="11" t="s">
        <v>46</v>
      </c>
      <c r="L133" s="11" t="s">
        <v>47</v>
      </c>
      <c r="M133" s="11" t="s">
        <v>48</v>
      </c>
      <c r="N133" s="11" t="s">
        <v>49</v>
      </c>
      <c r="O133" s="11" t="s">
        <v>50</v>
      </c>
      <c r="P133" s="11" t="s">
        <v>51</v>
      </c>
      <c r="Q133" s="11" t="s">
        <v>52</v>
      </c>
      <c r="R133" s="11" t="s">
        <v>53</v>
      </c>
      <c r="S133" s="11" t="s">
        <v>54</v>
      </c>
      <c r="T133" s="11" t="s">
        <v>55</v>
      </c>
      <c r="U133" s="11" t="s">
        <v>56</v>
      </c>
      <c r="V133" s="11" t="s">
        <v>57</v>
      </c>
      <c r="W133" s="11" t="s">
        <v>58</v>
      </c>
      <c r="X133" s="11" t="s">
        <v>59</v>
      </c>
      <c r="Y133" s="11" t="s">
        <v>60</v>
      </c>
      <c r="Z133" s="11" t="s">
        <v>61</v>
      </c>
      <c r="AA133" s="11" t="s">
        <v>62</v>
      </c>
      <c r="AB133" s="11" t="s">
        <v>63</v>
      </c>
      <c r="AC133" s="11" t="s">
        <v>64</v>
      </c>
      <c r="AD133" s="11" t="s">
        <v>65</v>
      </c>
      <c r="AE133" s="11" t="s">
        <v>66</v>
      </c>
      <c r="AF133" s="11" t="s">
        <v>67</v>
      </c>
      <c r="AG133" s="11" t="s">
        <v>68</v>
      </c>
      <c r="AH133" s="11" t="s">
        <v>69</v>
      </c>
      <c r="AI133" s="11" t="s">
        <v>70</v>
      </c>
      <c r="AJ133" s="11" t="s">
        <v>71</v>
      </c>
      <c r="AK133" s="11" t="s">
        <v>72</v>
      </c>
      <c r="AL133" s="11" t="s">
        <v>73</v>
      </c>
      <c r="AM133" s="11" t="s">
        <v>74</v>
      </c>
      <c r="AN133" s="25"/>
      <c r="AO133" s="25"/>
    </row>
    <row r="134" spans="2:41" x14ac:dyDescent="0.2">
      <c r="B134" s="22" t="str">
        <f>'Wzorzec kategorii'!B96</f>
        <v>Ubranie zwykłe</v>
      </c>
      <c r="C134" s="19">
        <v>0</v>
      </c>
      <c r="D134" s="20">
        <f>SUM(Tabela19212446148[#This Row])</f>
        <v>0</v>
      </c>
      <c r="E134" s="20">
        <f t="shared" ref="E134:E143" si="14">C134-D134</f>
        <v>0</v>
      </c>
      <c r="F134" s="21" t="str">
        <f t="shared" si="13"/>
        <v/>
      </c>
      <c r="G134" s="2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25"/>
      <c r="AO134" s="25"/>
    </row>
    <row r="135" spans="2:41" x14ac:dyDescent="0.2">
      <c r="B135" s="22" t="str">
        <f>'Wzorzec kategorii'!B97</f>
        <v>Ubranie sportowe</v>
      </c>
      <c r="C135" s="19">
        <v>0</v>
      </c>
      <c r="D135" s="20">
        <f>SUM(Tabela19212446148[#This Row])</f>
        <v>0</v>
      </c>
      <c r="E135" s="20">
        <f t="shared" si="14"/>
        <v>0</v>
      </c>
      <c r="F135" s="21" t="str">
        <f t="shared" si="13"/>
        <v/>
      </c>
      <c r="G135" s="24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25"/>
      <c r="AO135" s="25"/>
    </row>
    <row r="136" spans="2:41" x14ac:dyDescent="0.2">
      <c r="B136" s="22" t="str">
        <f>'Wzorzec kategorii'!B98</f>
        <v>Buty</v>
      </c>
      <c r="C136" s="19">
        <v>0</v>
      </c>
      <c r="D136" s="20">
        <f>SUM(Tabela19212446148[#This Row])</f>
        <v>0</v>
      </c>
      <c r="E136" s="20">
        <f t="shared" si="14"/>
        <v>0</v>
      </c>
      <c r="F136" s="21" t="str">
        <f t="shared" si="13"/>
        <v/>
      </c>
      <c r="G136" s="24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25"/>
      <c r="AO136" s="25"/>
    </row>
    <row r="137" spans="2:41" x14ac:dyDescent="0.2">
      <c r="B137" s="22" t="str">
        <f>'Wzorzec kategorii'!B99</f>
        <v>Dodatki</v>
      </c>
      <c r="C137" s="19">
        <v>0</v>
      </c>
      <c r="D137" s="20">
        <f>SUM(Tabela19212446148[#This Row])</f>
        <v>0</v>
      </c>
      <c r="E137" s="20">
        <f t="shared" si="14"/>
        <v>0</v>
      </c>
      <c r="F137" s="21" t="str">
        <f t="shared" si="13"/>
        <v/>
      </c>
      <c r="G137" s="2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25"/>
      <c r="AO137" s="25"/>
    </row>
    <row r="138" spans="2:41" x14ac:dyDescent="0.2">
      <c r="B138" s="22" t="str">
        <f>'Wzorzec kategorii'!B100</f>
        <v>Inne</v>
      </c>
      <c r="C138" s="19">
        <v>0</v>
      </c>
      <c r="D138" s="20">
        <f>SUM(Tabela19212446148[#This Row])</f>
        <v>0</v>
      </c>
      <c r="E138" s="20">
        <f t="shared" si="14"/>
        <v>0</v>
      </c>
      <c r="F138" s="21" t="str">
        <f t="shared" si="13"/>
        <v/>
      </c>
      <c r="G138" s="2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25"/>
      <c r="AO138" s="25"/>
    </row>
    <row r="139" spans="2:41" x14ac:dyDescent="0.2">
      <c r="B139" s="50" t="str">
        <f>'Wzorzec kategorii'!B101</f>
        <v>.</v>
      </c>
      <c r="C139" s="19">
        <v>0</v>
      </c>
      <c r="D139" s="20">
        <f>SUM(Tabela19212446148[#This Row])</f>
        <v>0</v>
      </c>
      <c r="E139" s="20">
        <f t="shared" si="14"/>
        <v>0</v>
      </c>
      <c r="F139" s="53" t="str">
        <f t="shared" si="13"/>
        <v/>
      </c>
      <c r="G139" s="54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25"/>
      <c r="AO139" s="25"/>
    </row>
    <row r="140" spans="2:41" x14ac:dyDescent="0.2">
      <c r="B140" s="50" t="str">
        <f>'Wzorzec kategorii'!B102</f>
        <v>.</v>
      </c>
      <c r="C140" s="19">
        <v>0</v>
      </c>
      <c r="D140" s="20">
        <f>SUM(Tabela19212446148[#This Row])</f>
        <v>0</v>
      </c>
      <c r="E140" s="20">
        <f t="shared" si="14"/>
        <v>0</v>
      </c>
      <c r="F140" s="53" t="str">
        <f t="shared" si="13"/>
        <v/>
      </c>
      <c r="G140" s="54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25"/>
      <c r="AO140" s="25"/>
    </row>
    <row r="141" spans="2:41" x14ac:dyDescent="0.2">
      <c r="B141" s="50" t="str">
        <f>'Wzorzec kategorii'!B103</f>
        <v>.</v>
      </c>
      <c r="C141" s="19">
        <v>0</v>
      </c>
      <c r="D141" s="20">
        <f>SUM(Tabela19212446148[#This Row])</f>
        <v>0</v>
      </c>
      <c r="E141" s="20">
        <f t="shared" si="14"/>
        <v>0</v>
      </c>
      <c r="F141" s="53" t="str">
        <f t="shared" si="13"/>
        <v/>
      </c>
      <c r="G141" s="54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25"/>
      <c r="AO141" s="25"/>
    </row>
    <row r="142" spans="2:41" x14ac:dyDescent="0.2">
      <c r="B142" s="50" t="str">
        <f>'Wzorzec kategorii'!B104</f>
        <v>.</v>
      </c>
      <c r="C142" s="19">
        <v>0</v>
      </c>
      <c r="D142" s="20">
        <f>SUM(Tabela19212446148[#This Row])</f>
        <v>0</v>
      </c>
      <c r="E142" s="20">
        <f t="shared" si="14"/>
        <v>0</v>
      </c>
      <c r="F142" s="53" t="str">
        <f t="shared" si="13"/>
        <v/>
      </c>
      <c r="G142" s="54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25"/>
      <c r="AO142" s="25"/>
    </row>
    <row r="143" spans="2:41" x14ac:dyDescent="0.2">
      <c r="B143" s="50" t="str">
        <f>'Wzorzec kategorii'!B105</f>
        <v>.</v>
      </c>
      <c r="C143" s="19">
        <v>0</v>
      </c>
      <c r="D143" s="20">
        <f>SUM(Tabela19212446148[#This Row])</f>
        <v>0</v>
      </c>
      <c r="E143" s="20">
        <f t="shared" si="14"/>
        <v>0</v>
      </c>
      <c r="F143" s="53" t="str">
        <f t="shared" si="13"/>
        <v/>
      </c>
      <c r="G143" s="54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25"/>
      <c r="AO143" s="25"/>
    </row>
    <row r="144" spans="2:41" x14ac:dyDescent="0.2">
      <c r="B144" s="5" t="s">
        <v>30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</row>
    <row r="145" spans="2:41" x14ac:dyDescent="0.2">
      <c r="B145" s="2" t="str">
        <f>'Wzorzec kategorii'!B107</f>
        <v>Higiena</v>
      </c>
      <c r="C145" s="3">
        <f>SUM(Tabela1135137[[#All],[Kolumna2]])</f>
        <v>0</v>
      </c>
      <c r="D145" s="16">
        <f>SUM(Tabela1135137[[#All],[Kolumna3]])</f>
        <v>0</v>
      </c>
      <c r="E145" s="3">
        <f>C145-D145</f>
        <v>0</v>
      </c>
      <c r="F145" s="17" t="str">
        <f t="shared" ref="F145:F155" si="15">IFERROR(D145/C145,"")</f>
        <v/>
      </c>
      <c r="G145" s="3"/>
      <c r="I145" s="11" t="s">
        <v>44</v>
      </c>
      <c r="J145" s="11" t="s">
        <v>45</v>
      </c>
      <c r="K145" s="11" t="s">
        <v>46</v>
      </c>
      <c r="L145" s="11" t="s">
        <v>47</v>
      </c>
      <c r="M145" s="11" t="s">
        <v>48</v>
      </c>
      <c r="N145" s="11" t="s">
        <v>49</v>
      </c>
      <c r="O145" s="11" t="s">
        <v>50</v>
      </c>
      <c r="P145" s="11" t="s">
        <v>51</v>
      </c>
      <c r="Q145" s="11" t="s">
        <v>52</v>
      </c>
      <c r="R145" s="11" t="s">
        <v>53</v>
      </c>
      <c r="S145" s="11" t="s">
        <v>54</v>
      </c>
      <c r="T145" s="11" t="s">
        <v>55</v>
      </c>
      <c r="U145" s="11" t="s">
        <v>56</v>
      </c>
      <c r="V145" s="11" t="s">
        <v>57</v>
      </c>
      <c r="W145" s="11" t="s">
        <v>58</v>
      </c>
      <c r="X145" s="11" t="s">
        <v>59</v>
      </c>
      <c r="Y145" s="11" t="s">
        <v>60</v>
      </c>
      <c r="Z145" s="11" t="s">
        <v>61</v>
      </c>
      <c r="AA145" s="11" t="s">
        <v>62</v>
      </c>
      <c r="AB145" s="11" t="s">
        <v>63</v>
      </c>
      <c r="AC145" s="11" t="s">
        <v>64</v>
      </c>
      <c r="AD145" s="11" t="s">
        <v>65</v>
      </c>
      <c r="AE145" s="11" t="s">
        <v>66</v>
      </c>
      <c r="AF145" s="11" t="s">
        <v>67</v>
      </c>
      <c r="AG145" s="11" t="s">
        <v>68</v>
      </c>
      <c r="AH145" s="11" t="s">
        <v>69</v>
      </c>
      <c r="AI145" s="11" t="s">
        <v>70</v>
      </c>
      <c r="AJ145" s="11" t="s">
        <v>71</v>
      </c>
      <c r="AK145" s="11" t="s">
        <v>72</v>
      </c>
      <c r="AL145" s="11" t="s">
        <v>73</v>
      </c>
      <c r="AM145" s="11" t="s">
        <v>74</v>
      </c>
      <c r="AN145" s="25"/>
      <c r="AO145" s="25"/>
    </row>
    <row r="146" spans="2:41" x14ac:dyDescent="0.2">
      <c r="B146" s="22" t="str">
        <f>'Wzorzec kategorii'!B108</f>
        <v>Kosmetyki</v>
      </c>
      <c r="C146" s="19">
        <v>0</v>
      </c>
      <c r="D146" s="20">
        <f>SUM(Tabela192244146[#This Row])</f>
        <v>0</v>
      </c>
      <c r="E146" s="20">
        <f t="shared" ref="E146:E155" si="16">C146-D146</f>
        <v>0</v>
      </c>
      <c r="F146" s="21" t="str">
        <f t="shared" si="15"/>
        <v/>
      </c>
      <c r="G146" s="24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25"/>
      <c r="AO146" s="25"/>
    </row>
    <row r="147" spans="2:41" x14ac:dyDescent="0.2">
      <c r="B147" s="22" t="str">
        <f>'Wzorzec kategorii'!B109</f>
        <v>Środki czystości (chemia)</v>
      </c>
      <c r="C147" s="19">
        <v>0</v>
      </c>
      <c r="D147" s="20">
        <f>SUM(Tabela192244146[#This Row])</f>
        <v>0</v>
      </c>
      <c r="E147" s="20">
        <f t="shared" si="16"/>
        <v>0</v>
      </c>
      <c r="F147" s="21" t="str">
        <f t="shared" si="15"/>
        <v/>
      </c>
      <c r="G147" s="2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25"/>
      <c r="AO147" s="25"/>
    </row>
    <row r="148" spans="2:41" x14ac:dyDescent="0.2">
      <c r="B148" s="22" t="str">
        <f>'Wzorzec kategorii'!B110</f>
        <v>Fryzjer</v>
      </c>
      <c r="C148" s="19">
        <v>0</v>
      </c>
      <c r="D148" s="20">
        <f>SUM(Tabela192244146[#This Row])</f>
        <v>0</v>
      </c>
      <c r="E148" s="20">
        <f t="shared" si="16"/>
        <v>0</v>
      </c>
      <c r="F148" s="21" t="str">
        <f t="shared" si="15"/>
        <v/>
      </c>
      <c r="G148" s="2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25"/>
      <c r="AO148" s="25"/>
    </row>
    <row r="149" spans="2:41" x14ac:dyDescent="0.2">
      <c r="B149" s="22" t="str">
        <f>'Wzorzec kategorii'!B111</f>
        <v>Kosmetyczka</v>
      </c>
      <c r="C149" s="19">
        <v>0</v>
      </c>
      <c r="D149" s="20">
        <f>SUM(Tabela192244146[#This Row])</f>
        <v>0</v>
      </c>
      <c r="E149" s="20">
        <f t="shared" si="16"/>
        <v>0</v>
      </c>
      <c r="F149" s="21" t="str">
        <f t="shared" si="15"/>
        <v/>
      </c>
      <c r="G149" s="2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25"/>
      <c r="AO149" s="25"/>
    </row>
    <row r="150" spans="2:41" x14ac:dyDescent="0.2">
      <c r="B150" s="22" t="str">
        <f>'Wzorzec kategorii'!B112</f>
        <v>Inne</v>
      </c>
      <c r="C150" s="19">
        <v>0</v>
      </c>
      <c r="D150" s="20">
        <f>SUM(Tabela192244146[#This Row])</f>
        <v>0</v>
      </c>
      <c r="E150" s="20">
        <f t="shared" si="16"/>
        <v>0</v>
      </c>
      <c r="F150" s="21" t="str">
        <f t="shared" si="15"/>
        <v/>
      </c>
      <c r="G150" s="2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25"/>
      <c r="AO150" s="25"/>
    </row>
    <row r="151" spans="2:41" x14ac:dyDescent="0.2">
      <c r="B151" s="22" t="str">
        <f>'Wzorzec kategorii'!B113</f>
        <v>.</v>
      </c>
      <c r="C151" s="19">
        <v>0</v>
      </c>
      <c r="D151" s="20">
        <f>SUM(Tabela192244146[#This Row])</f>
        <v>0</v>
      </c>
      <c r="E151" s="20">
        <f t="shared" si="16"/>
        <v>0</v>
      </c>
      <c r="F151" s="53" t="str">
        <f t="shared" si="15"/>
        <v/>
      </c>
      <c r="G151" s="54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25"/>
      <c r="AO151" s="25"/>
    </row>
    <row r="152" spans="2:41" x14ac:dyDescent="0.2">
      <c r="B152" s="22" t="str">
        <f>'Wzorzec kategorii'!B114</f>
        <v>.</v>
      </c>
      <c r="C152" s="19">
        <v>0</v>
      </c>
      <c r="D152" s="20">
        <f>SUM(Tabela192244146[#This Row])</f>
        <v>0</v>
      </c>
      <c r="E152" s="20">
        <f t="shared" si="16"/>
        <v>0</v>
      </c>
      <c r="F152" s="53" t="str">
        <f t="shared" si="15"/>
        <v/>
      </c>
      <c r="G152" s="54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25"/>
      <c r="AO152" s="25"/>
    </row>
    <row r="153" spans="2:41" x14ac:dyDescent="0.2">
      <c r="B153" s="22" t="str">
        <f>'Wzorzec kategorii'!B115</f>
        <v>.</v>
      </c>
      <c r="C153" s="19">
        <v>0</v>
      </c>
      <c r="D153" s="20">
        <f>SUM(Tabela192244146[#This Row])</f>
        <v>0</v>
      </c>
      <c r="E153" s="20">
        <f t="shared" si="16"/>
        <v>0</v>
      </c>
      <c r="F153" s="53" t="str">
        <f t="shared" si="15"/>
        <v/>
      </c>
      <c r="G153" s="54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25"/>
      <c r="AO153" s="25"/>
    </row>
    <row r="154" spans="2:41" x14ac:dyDescent="0.2">
      <c r="B154" s="22" t="str">
        <f>'Wzorzec kategorii'!B116</f>
        <v>.</v>
      </c>
      <c r="C154" s="19">
        <v>0</v>
      </c>
      <c r="D154" s="20">
        <f>SUM(Tabela192244146[#This Row])</f>
        <v>0</v>
      </c>
      <c r="E154" s="20">
        <f t="shared" si="16"/>
        <v>0</v>
      </c>
      <c r="F154" s="53" t="str">
        <f t="shared" si="15"/>
        <v/>
      </c>
      <c r="G154" s="54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25"/>
      <c r="AO154" s="25"/>
    </row>
    <row r="155" spans="2:41" x14ac:dyDescent="0.2">
      <c r="B155" s="22" t="str">
        <f>'Wzorzec kategorii'!B117</f>
        <v>.</v>
      </c>
      <c r="C155" s="19">
        <v>0</v>
      </c>
      <c r="D155" s="20">
        <f>SUM(Tabela192244146[#This Row])</f>
        <v>0</v>
      </c>
      <c r="E155" s="20">
        <f t="shared" si="16"/>
        <v>0</v>
      </c>
      <c r="F155" s="53" t="str">
        <f t="shared" si="15"/>
        <v/>
      </c>
      <c r="G155" s="54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25"/>
      <c r="AO155" s="25"/>
    </row>
    <row r="156" spans="2:41" x14ac:dyDescent="0.2">
      <c r="B156" s="5" t="s">
        <v>30</v>
      </c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</row>
    <row r="157" spans="2:41" x14ac:dyDescent="0.2">
      <c r="B157" s="2" t="str">
        <f>'Wzorzec kategorii'!B119</f>
        <v>Dzieci</v>
      </c>
      <c r="C157" s="3">
        <f>SUM(Tabela1236138[[#All],[Kolumna2]])</f>
        <v>0</v>
      </c>
      <c r="D157" s="16">
        <f>SUM(Tabela1236138[[#All],[Kolumna3]])</f>
        <v>0</v>
      </c>
      <c r="E157" s="3">
        <f>C157-D157</f>
        <v>0</v>
      </c>
      <c r="F157" s="17" t="str">
        <f>IFERROR(D157/C157,"")</f>
        <v/>
      </c>
      <c r="G157" s="3"/>
      <c r="I157" s="11" t="s">
        <v>44</v>
      </c>
      <c r="J157" s="11" t="s">
        <v>45</v>
      </c>
      <c r="K157" s="11" t="s">
        <v>46</v>
      </c>
      <c r="L157" s="11" t="s">
        <v>47</v>
      </c>
      <c r="M157" s="11" t="s">
        <v>48</v>
      </c>
      <c r="N157" s="11" t="s">
        <v>49</v>
      </c>
      <c r="O157" s="11" t="s">
        <v>50</v>
      </c>
      <c r="P157" s="11" t="s">
        <v>51</v>
      </c>
      <c r="Q157" s="11" t="s">
        <v>52</v>
      </c>
      <c r="R157" s="11" t="s">
        <v>53</v>
      </c>
      <c r="S157" s="11" t="s">
        <v>54</v>
      </c>
      <c r="T157" s="11" t="s">
        <v>55</v>
      </c>
      <c r="U157" s="11" t="s">
        <v>56</v>
      </c>
      <c r="V157" s="11" t="s">
        <v>57</v>
      </c>
      <c r="W157" s="11" t="s">
        <v>58</v>
      </c>
      <c r="X157" s="11" t="s">
        <v>59</v>
      </c>
      <c r="Y157" s="11" t="s">
        <v>60</v>
      </c>
      <c r="Z157" s="11" t="s">
        <v>61</v>
      </c>
      <c r="AA157" s="11" t="s">
        <v>62</v>
      </c>
      <c r="AB157" s="11" t="s">
        <v>63</v>
      </c>
      <c r="AC157" s="11" t="s">
        <v>64</v>
      </c>
      <c r="AD157" s="11" t="s">
        <v>65</v>
      </c>
      <c r="AE157" s="11" t="s">
        <v>66</v>
      </c>
      <c r="AF157" s="11" t="s">
        <v>67</v>
      </c>
      <c r="AG157" s="11" t="s">
        <v>68</v>
      </c>
      <c r="AH157" s="11" t="s">
        <v>69</v>
      </c>
      <c r="AI157" s="11" t="s">
        <v>70</v>
      </c>
      <c r="AJ157" s="11" t="s">
        <v>71</v>
      </c>
      <c r="AK157" s="11" t="s">
        <v>72</v>
      </c>
      <c r="AL157" s="11" t="s">
        <v>73</v>
      </c>
      <c r="AM157" s="11" t="s">
        <v>74</v>
      </c>
      <c r="AN157" s="25"/>
      <c r="AO157" s="25"/>
    </row>
    <row r="158" spans="2:41" x14ac:dyDescent="0.2">
      <c r="B158" s="22" t="str">
        <f>'Wzorzec kategorii'!B120</f>
        <v>Artykuły szkolne</v>
      </c>
      <c r="C158" s="19">
        <v>0</v>
      </c>
      <c r="D158" s="20">
        <f>SUM(Tabela2548150[#This Row])</f>
        <v>0</v>
      </c>
      <c r="E158" s="20">
        <f t="shared" ref="E158:E167" si="17">C158-D158</f>
        <v>0</v>
      </c>
      <c r="F158" s="21" t="str">
        <f t="shared" ref="F158:F167" si="18">IFERROR(D158/C158,"")</f>
        <v/>
      </c>
      <c r="G158" s="2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25"/>
      <c r="AO158" s="25"/>
    </row>
    <row r="159" spans="2:41" x14ac:dyDescent="0.2">
      <c r="B159" s="22" t="str">
        <f>'Wzorzec kategorii'!B121</f>
        <v>Dodatkowe zajęcia</v>
      </c>
      <c r="C159" s="19">
        <v>0</v>
      </c>
      <c r="D159" s="20">
        <f>SUM(Tabela2548150[#This Row])</f>
        <v>0</v>
      </c>
      <c r="E159" s="20">
        <f t="shared" si="17"/>
        <v>0</v>
      </c>
      <c r="F159" s="21" t="str">
        <f t="shared" si="18"/>
        <v/>
      </c>
      <c r="G159" s="2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25"/>
      <c r="AO159" s="25"/>
    </row>
    <row r="160" spans="2:41" x14ac:dyDescent="0.2">
      <c r="B160" s="22" t="str">
        <f>'Wzorzec kategorii'!B122</f>
        <v>Wpłaty na szkołę itp.</v>
      </c>
      <c r="C160" s="19">
        <v>0</v>
      </c>
      <c r="D160" s="20">
        <f>SUM(Tabela2548150[#This Row])</f>
        <v>0</v>
      </c>
      <c r="E160" s="20">
        <f t="shared" si="17"/>
        <v>0</v>
      </c>
      <c r="F160" s="21" t="str">
        <f t="shared" si="18"/>
        <v/>
      </c>
      <c r="G160" s="2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25"/>
      <c r="AO160" s="25"/>
    </row>
    <row r="161" spans="2:41" x14ac:dyDescent="0.2">
      <c r="B161" s="22" t="str">
        <f>'Wzorzec kategorii'!B123</f>
        <v>Zabawki / gry</v>
      </c>
      <c r="C161" s="19">
        <v>0</v>
      </c>
      <c r="D161" s="20">
        <f>SUM(Tabela2548150[#This Row])</f>
        <v>0</v>
      </c>
      <c r="E161" s="20">
        <f t="shared" si="17"/>
        <v>0</v>
      </c>
      <c r="F161" s="21" t="str">
        <f t="shared" si="18"/>
        <v/>
      </c>
      <c r="G161" s="2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25"/>
      <c r="AO161" s="25"/>
    </row>
    <row r="162" spans="2:41" x14ac:dyDescent="0.2">
      <c r="B162" s="22" t="str">
        <f>'Wzorzec kategorii'!B124</f>
        <v>Opieka nad dziećmi</v>
      </c>
      <c r="C162" s="19">
        <v>0</v>
      </c>
      <c r="D162" s="20">
        <f>SUM(Tabela2548150[#This Row])</f>
        <v>0</v>
      </c>
      <c r="E162" s="20">
        <f t="shared" si="17"/>
        <v>0</v>
      </c>
      <c r="F162" s="21" t="str">
        <f t="shared" si="18"/>
        <v/>
      </c>
      <c r="G162" s="2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25"/>
      <c r="AO162" s="25"/>
    </row>
    <row r="163" spans="2:41" x14ac:dyDescent="0.2">
      <c r="B163" s="22" t="str">
        <f>'Wzorzec kategorii'!B125</f>
        <v>Inne</v>
      </c>
      <c r="C163" s="19">
        <v>0</v>
      </c>
      <c r="D163" s="20">
        <f>SUM(Tabela2548150[#This Row])</f>
        <v>0</v>
      </c>
      <c r="E163" s="20">
        <f t="shared" si="17"/>
        <v>0</v>
      </c>
      <c r="F163" s="21" t="str">
        <f t="shared" si="18"/>
        <v/>
      </c>
      <c r="G163" s="24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25"/>
      <c r="AO163" s="25"/>
    </row>
    <row r="164" spans="2:41" x14ac:dyDescent="0.2">
      <c r="B164" s="51" t="str">
        <f>'Wzorzec kategorii'!B126</f>
        <v>.</v>
      </c>
      <c r="C164" s="19">
        <v>0</v>
      </c>
      <c r="D164" s="20">
        <f>SUM(Tabela2548150[#This Row])</f>
        <v>0</v>
      </c>
      <c r="E164" s="20">
        <f t="shared" si="17"/>
        <v>0</v>
      </c>
      <c r="F164" s="53" t="str">
        <f t="shared" si="18"/>
        <v/>
      </c>
      <c r="G164" s="24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25"/>
      <c r="AO164" s="25"/>
    </row>
    <row r="165" spans="2:41" x14ac:dyDescent="0.2">
      <c r="B165" s="51" t="str">
        <f>'Wzorzec kategorii'!B127</f>
        <v>.</v>
      </c>
      <c r="C165" s="19">
        <v>0</v>
      </c>
      <c r="D165" s="20">
        <f>SUM(Tabela2548150[#This Row])</f>
        <v>0</v>
      </c>
      <c r="E165" s="20">
        <f t="shared" si="17"/>
        <v>0</v>
      </c>
      <c r="F165" s="53" t="str">
        <f t="shared" si="18"/>
        <v/>
      </c>
      <c r="G165" s="24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25"/>
      <c r="AO165" s="25"/>
    </row>
    <row r="166" spans="2:41" x14ac:dyDescent="0.2">
      <c r="B166" s="51" t="str">
        <f>'Wzorzec kategorii'!B128</f>
        <v>.</v>
      </c>
      <c r="C166" s="19">
        <v>0</v>
      </c>
      <c r="D166" s="20">
        <f>SUM(Tabela2548150[#This Row])</f>
        <v>0</v>
      </c>
      <c r="E166" s="20">
        <f t="shared" si="17"/>
        <v>0</v>
      </c>
      <c r="F166" s="53" t="str">
        <f t="shared" si="18"/>
        <v/>
      </c>
      <c r="G166" s="24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25"/>
      <c r="AO166" s="25"/>
    </row>
    <row r="167" spans="2:41" x14ac:dyDescent="0.2">
      <c r="B167" s="51" t="str">
        <f>'Wzorzec kategorii'!B129</f>
        <v>.</v>
      </c>
      <c r="C167" s="19">
        <v>0</v>
      </c>
      <c r="D167" s="20">
        <f>SUM(Tabela2548150[#This Row])</f>
        <v>0</v>
      </c>
      <c r="E167" s="20">
        <f t="shared" si="17"/>
        <v>0</v>
      </c>
      <c r="F167" s="53" t="str">
        <f t="shared" si="18"/>
        <v/>
      </c>
      <c r="G167" s="24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25"/>
      <c r="AO167" s="25"/>
    </row>
    <row r="168" spans="2:41" x14ac:dyDescent="0.2">
      <c r="B168" s="5" t="s">
        <v>30</v>
      </c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</row>
    <row r="169" spans="2:41" x14ac:dyDescent="0.2">
      <c r="B169" s="2" t="str">
        <f>'Wzorzec kategorii'!B131</f>
        <v>Rozrywka</v>
      </c>
      <c r="C169" s="3">
        <f>SUM(Tabela1337139[[#All],[Kolumna2]])</f>
        <v>0</v>
      </c>
      <c r="D169" s="16">
        <f>SUM(Tabela1337139[[#All],[Kolumna3]])</f>
        <v>0</v>
      </c>
      <c r="E169" s="3">
        <f>C169-D169</f>
        <v>0</v>
      </c>
      <c r="F169" s="17" t="str">
        <f>IFERROR(D169/C169,"")</f>
        <v/>
      </c>
      <c r="G169" s="3"/>
      <c r="I169" s="11" t="s">
        <v>44</v>
      </c>
      <c r="J169" s="11" t="s">
        <v>45</v>
      </c>
      <c r="K169" s="11" t="s">
        <v>46</v>
      </c>
      <c r="L169" s="11" t="s">
        <v>47</v>
      </c>
      <c r="M169" s="11" t="s">
        <v>48</v>
      </c>
      <c r="N169" s="11" t="s">
        <v>49</v>
      </c>
      <c r="O169" s="11" t="s">
        <v>50</v>
      </c>
      <c r="P169" s="11" t="s">
        <v>51</v>
      </c>
      <c r="Q169" s="11" t="s">
        <v>52</v>
      </c>
      <c r="R169" s="11" t="s">
        <v>53</v>
      </c>
      <c r="S169" s="11" t="s">
        <v>54</v>
      </c>
      <c r="T169" s="11" t="s">
        <v>55</v>
      </c>
      <c r="U169" s="11" t="s">
        <v>56</v>
      </c>
      <c r="V169" s="11" t="s">
        <v>57</v>
      </c>
      <c r="W169" s="11" t="s">
        <v>58</v>
      </c>
      <c r="X169" s="11" t="s">
        <v>59</v>
      </c>
      <c r="Y169" s="11" t="s">
        <v>60</v>
      </c>
      <c r="Z169" s="11" t="s">
        <v>61</v>
      </c>
      <c r="AA169" s="11" t="s">
        <v>62</v>
      </c>
      <c r="AB169" s="11" t="s">
        <v>63</v>
      </c>
      <c r="AC169" s="11" t="s">
        <v>64</v>
      </c>
      <c r="AD169" s="11" t="s">
        <v>65</v>
      </c>
      <c r="AE169" s="11" t="s">
        <v>66</v>
      </c>
      <c r="AF169" s="11" t="s">
        <v>67</v>
      </c>
      <c r="AG169" s="11" t="s">
        <v>68</v>
      </c>
      <c r="AH169" s="11" t="s">
        <v>69</v>
      </c>
      <c r="AI169" s="11" t="s">
        <v>70</v>
      </c>
      <c r="AJ169" s="11" t="s">
        <v>71</v>
      </c>
      <c r="AK169" s="11" t="s">
        <v>72</v>
      </c>
      <c r="AL169" s="11" t="s">
        <v>73</v>
      </c>
      <c r="AM169" s="11" t="s">
        <v>74</v>
      </c>
      <c r="AN169" s="25"/>
      <c r="AO169" s="25"/>
    </row>
    <row r="170" spans="2:41" x14ac:dyDescent="0.2">
      <c r="B170" s="22" t="str">
        <f>'Wzorzec kategorii'!B132</f>
        <v>Siłownia / Basen</v>
      </c>
      <c r="C170" s="19">
        <v>0</v>
      </c>
      <c r="D170" s="20">
        <f>SUM(Tabela2649151[#This Row])</f>
        <v>0</v>
      </c>
      <c r="E170" s="20">
        <f t="shared" ref="E170:E179" si="19">C170-D170</f>
        <v>0</v>
      </c>
      <c r="F170" s="21" t="str">
        <f t="shared" ref="F170:F179" si="20">IFERROR(D170/C170,"")</f>
        <v/>
      </c>
      <c r="G170" s="24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25"/>
      <c r="AO170" s="25"/>
    </row>
    <row r="171" spans="2:41" x14ac:dyDescent="0.2">
      <c r="B171" s="22" t="str">
        <f>'Wzorzec kategorii'!B133</f>
        <v>Kino / Teatr</v>
      </c>
      <c r="C171" s="19">
        <v>0</v>
      </c>
      <c r="D171" s="20">
        <f>SUM(Tabela2649151[#This Row])</f>
        <v>0</v>
      </c>
      <c r="E171" s="20">
        <f t="shared" si="19"/>
        <v>0</v>
      </c>
      <c r="F171" s="21" t="str">
        <f t="shared" si="20"/>
        <v/>
      </c>
      <c r="G171" s="24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25"/>
      <c r="AO171" s="25"/>
    </row>
    <row r="172" spans="2:41" x14ac:dyDescent="0.2">
      <c r="B172" s="22" t="str">
        <f>'Wzorzec kategorii'!B134</f>
        <v>Koncerty</v>
      </c>
      <c r="C172" s="19">
        <v>0</v>
      </c>
      <c r="D172" s="20">
        <f>SUM(Tabela2649151[#This Row])</f>
        <v>0</v>
      </c>
      <c r="E172" s="20">
        <f t="shared" si="19"/>
        <v>0</v>
      </c>
      <c r="F172" s="21" t="str">
        <f t="shared" si="20"/>
        <v/>
      </c>
      <c r="G172" s="24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25"/>
      <c r="AO172" s="25"/>
    </row>
    <row r="173" spans="2:41" x14ac:dyDescent="0.2">
      <c r="B173" s="22" t="str">
        <f>'Wzorzec kategorii'!B135</f>
        <v>Czasopisma</v>
      </c>
      <c r="C173" s="19">
        <v>0</v>
      </c>
      <c r="D173" s="20">
        <f>SUM(Tabela2649151[#This Row])</f>
        <v>0</v>
      </c>
      <c r="E173" s="20">
        <f t="shared" si="19"/>
        <v>0</v>
      </c>
      <c r="F173" s="21" t="str">
        <f t="shared" si="20"/>
        <v/>
      </c>
      <c r="G173" s="24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25"/>
      <c r="AO173" s="25"/>
    </row>
    <row r="174" spans="2:41" x14ac:dyDescent="0.2">
      <c r="B174" s="22" t="str">
        <f>'Wzorzec kategorii'!B136</f>
        <v>Książki</v>
      </c>
      <c r="C174" s="19">
        <v>0</v>
      </c>
      <c r="D174" s="20">
        <f>SUM(Tabela2649151[#This Row])</f>
        <v>0</v>
      </c>
      <c r="E174" s="20">
        <f t="shared" si="19"/>
        <v>0</v>
      </c>
      <c r="F174" s="21" t="str">
        <f t="shared" si="20"/>
        <v/>
      </c>
      <c r="G174" s="24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25"/>
      <c r="AO174" s="25"/>
    </row>
    <row r="175" spans="2:41" x14ac:dyDescent="0.2">
      <c r="B175" s="22" t="str">
        <f>'Wzorzec kategorii'!B137</f>
        <v>Hobby</v>
      </c>
      <c r="C175" s="19">
        <v>0</v>
      </c>
      <c r="D175" s="20">
        <f>SUM(Tabela2649151[#This Row])</f>
        <v>0</v>
      </c>
      <c r="E175" s="20">
        <f t="shared" si="19"/>
        <v>0</v>
      </c>
      <c r="F175" s="21" t="str">
        <f t="shared" si="20"/>
        <v/>
      </c>
      <c r="G175" s="24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25"/>
      <c r="AO175" s="25"/>
    </row>
    <row r="176" spans="2:41" x14ac:dyDescent="0.2">
      <c r="B176" s="22" t="str">
        <f>'Wzorzec kategorii'!B138</f>
        <v>Hotel / Turystyka</v>
      </c>
      <c r="C176" s="19">
        <v>0</v>
      </c>
      <c r="D176" s="20">
        <f>SUM(Tabela2649151[#This Row])</f>
        <v>0</v>
      </c>
      <c r="E176" s="20">
        <f t="shared" si="19"/>
        <v>0</v>
      </c>
      <c r="F176" s="21" t="str">
        <f t="shared" si="20"/>
        <v/>
      </c>
      <c r="G176" s="24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25"/>
      <c r="AO176" s="25"/>
    </row>
    <row r="177" spans="2:41" x14ac:dyDescent="0.2">
      <c r="B177" s="22" t="str">
        <f>'Wzorzec kategorii'!B139</f>
        <v>Inne</v>
      </c>
      <c r="C177" s="19">
        <v>0</v>
      </c>
      <c r="D177" s="20">
        <f>SUM(Tabela2649151[#This Row])</f>
        <v>0</v>
      </c>
      <c r="E177" s="20">
        <f t="shared" si="19"/>
        <v>0</v>
      </c>
      <c r="F177" s="21" t="str">
        <f t="shared" si="20"/>
        <v/>
      </c>
      <c r="G177" s="24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25"/>
      <c r="AO177" s="25"/>
    </row>
    <row r="178" spans="2:41" x14ac:dyDescent="0.2">
      <c r="B178" s="22" t="str">
        <f>'Wzorzec kategorii'!B140</f>
        <v>.</v>
      </c>
      <c r="C178" s="19">
        <v>0</v>
      </c>
      <c r="D178" s="20">
        <f>SUM(Tabela2649151[#This Row])</f>
        <v>0</v>
      </c>
      <c r="E178" s="20">
        <f t="shared" si="19"/>
        <v>0</v>
      </c>
      <c r="F178" s="53" t="str">
        <f t="shared" si="20"/>
        <v/>
      </c>
      <c r="G178" s="54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25"/>
      <c r="AO178" s="25"/>
    </row>
    <row r="179" spans="2:41" x14ac:dyDescent="0.2">
      <c r="B179" s="22" t="str">
        <f>'Wzorzec kategorii'!B141</f>
        <v>.</v>
      </c>
      <c r="C179" s="19">
        <v>0</v>
      </c>
      <c r="D179" s="20">
        <f>SUM(Tabela2649151[#This Row])</f>
        <v>0</v>
      </c>
      <c r="E179" s="20">
        <f t="shared" si="19"/>
        <v>0</v>
      </c>
      <c r="F179" s="53" t="str">
        <f t="shared" si="20"/>
        <v/>
      </c>
      <c r="G179" s="54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25"/>
      <c r="AO179" s="25"/>
    </row>
    <row r="180" spans="2:41" x14ac:dyDescent="0.2">
      <c r="B180" s="5" t="s">
        <v>30</v>
      </c>
      <c r="AN180" s="25"/>
      <c r="AO180" s="25"/>
    </row>
    <row r="181" spans="2:41" x14ac:dyDescent="0.2">
      <c r="B181" s="2" t="str">
        <f>'Wzorzec kategorii'!B143</f>
        <v>Inne wydatki</v>
      </c>
      <c r="C181" s="3">
        <f>SUM(Tabela1438140[[#All],[Kolumna2]])</f>
        <v>0</v>
      </c>
      <c r="D181" s="16">
        <f>SUM(Tabela1438140[[#All],[Kolumna3]])</f>
        <v>0</v>
      </c>
      <c r="E181" s="3">
        <f>C181-D181</f>
        <v>0</v>
      </c>
      <c r="F181" s="17" t="str">
        <f>IFERROR(D181/C181,"")</f>
        <v/>
      </c>
      <c r="G181" s="3"/>
      <c r="I181" s="11" t="s">
        <v>44</v>
      </c>
      <c r="J181" s="11" t="s">
        <v>45</v>
      </c>
      <c r="K181" s="11" t="s">
        <v>46</v>
      </c>
      <c r="L181" s="11" t="s">
        <v>47</v>
      </c>
      <c r="M181" s="11" t="s">
        <v>48</v>
      </c>
      <c r="N181" s="11" t="s">
        <v>49</v>
      </c>
      <c r="O181" s="11" t="s">
        <v>50</v>
      </c>
      <c r="P181" s="11" t="s">
        <v>51</v>
      </c>
      <c r="Q181" s="11" t="s">
        <v>52</v>
      </c>
      <c r="R181" s="11" t="s">
        <v>53</v>
      </c>
      <c r="S181" s="11" t="s">
        <v>54</v>
      </c>
      <c r="T181" s="11" t="s">
        <v>55</v>
      </c>
      <c r="U181" s="11" t="s">
        <v>56</v>
      </c>
      <c r="V181" s="11" t="s">
        <v>57</v>
      </c>
      <c r="W181" s="11" t="s">
        <v>58</v>
      </c>
      <c r="X181" s="11" t="s">
        <v>59</v>
      </c>
      <c r="Y181" s="11" t="s">
        <v>60</v>
      </c>
      <c r="Z181" s="11" t="s">
        <v>61</v>
      </c>
      <c r="AA181" s="11" t="s">
        <v>62</v>
      </c>
      <c r="AB181" s="11" t="s">
        <v>63</v>
      </c>
      <c r="AC181" s="11" t="s">
        <v>64</v>
      </c>
      <c r="AD181" s="11" t="s">
        <v>65</v>
      </c>
      <c r="AE181" s="11" t="s">
        <v>66</v>
      </c>
      <c r="AF181" s="11" t="s">
        <v>67</v>
      </c>
      <c r="AG181" s="11" t="s">
        <v>68</v>
      </c>
      <c r="AH181" s="11" t="s">
        <v>69</v>
      </c>
      <c r="AI181" s="11" t="s">
        <v>70</v>
      </c>
      <c r="AJ181" s="11" t="s">
        <v>71</v>
      </c>
      <c r="AK181" s="11" t="s">
        <v>72</v>
      </c>
      <c r="AL181" s="11" t="s">
        <v>73</v>
      </c>
      <c r="AM181" s="11" t="s">
        <v>74</v>
      </c>
      <c r="AN181" s="25"/>
      <c r="AO181" s="25"/>
    </row>
    <row r="182" spans="2:41" x14ac:dyDescent="0.2">
      <c r="B182" s="22" t="str">
        <f>'Wzorzec kategorii'!B144</f>
        <v>Dobroczynność</v>
      </c>
      <c r="C182" s="19">
        <v>0</v>
      </c>
      <c r="D182" s="20">
        <f>SUM(Tabela2750152[#This Row])</f>
        <v>0</v>
      </c>
      <c r="E182" s="20">
        <f t="shared" ref="E182:E191" si="21">C182-D182</f>
        <v>0</v>
      </c>
      <c r="F182" s="21" t="str">
        <f t="shared" ref="F182:F191" si="22">IFERROR(D182/C182,"")</f>
        <v/>
      </c>
      <c r="G182" s="24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25"/>
      <c r="AO182" s="25"/>
    </row>
    <row r="183" spans="2:41" x14ac:dyDescent="0.2">
      <c r="B183" s="22" t="str">
        <f>'Wzorzec kategorii'!B145</f>
        <v>Prezenty</v>
      </c>
      <c r="C183" s="19">
        <v>0</v>
      </c>
      <c r="D183" s="20">
        <f>SUM(Tabela2750152[#This Row])</f>
        <v>0</v>
      </c>
      <c r="E183" s="20">
        <f t="shared" si="21"/>
        <v>0</v>
      </c>
      <c r="F183" s="21" t="str">
        <f t="shared" si="22"/>
        <v/>
      </c>
      <c r="G183" s="24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25"/>
      <c r="AO183" s="25"/>
    </row>
    <row r="184" spans="2:41" x14ac:dyDescent="0.2">
      <c r="B184" s="22" t="str">
        <f>'Wzorzec kategorii'!B146</f>
        <v>Sprzęt RTV</v>
      </c>
      <c r="C184" s="19">
        <v>0</v>
      </c>
      <c r="D184" s="20">
        <f>SUM(Tabela2750152[#This Row])</f>
        <v>0</v>
      </c>
      <c r="E184" s="20">
        <f t="shared" si="21"/>
        <v>0</v>
      </c>
      <c r="F184" s="21" t="str">
        <f t="shared" si="22"/>
        <v/>
      </c>
      <c r="G184" s="24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25"/>
      <c r="AO184" s="25"/>
    </row>
    <row r="185" spans="2:41" x14ac:dyDescent="0.2">
      <c r="B185" s="22" t="str">
        <f>'Wzorzec kategorii'!B147</f>
        <v>Oprogramowanie</v>
      </c>
      <c r="C185" s="19">
        <v>0</v>
      </c>
      <c r="D185" s="20">
        <f>SUM(Tabela2750152[#This Row])</f>
        <v>0</v>
      </c>
      <c r="E185" s="20">
        <f t="shared" si="21"/>
        <v>0</v>
      </c>
      <c r="F185" s="21" t="str">
        <f t="shared" si="22"/>
        <v/>
      </c>
      <c r="G185" s="24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25"/>
      <c r="AO185" s="25"/>
    </row>
    <row r="186" spans="2:41" x14ac:dyDescent="0.2">
      <c r="B186" s="22" t="str">
        <f>'Wzorzec kategorii'!B148</f>
        <v>Edukacja / Szkolenia</v>
      </c>
      <c r="C186" s="19">
        <v>0</v>
      </c>
      <c r="D186" s="20">
        <f>SUM(Tabela2750152[#This Row])</f>
        <v>0</v>
      </c>
      <c r="E186" s="20">
        <f t="shared" si="21"/>
        <v>0</v>
      </c>
      <c r="F186" s="21" t="str">
        <f t="shared" si="22"/>
        <v/>
      </c>
      <c r="G186" s="24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25"/>
      <c r="AO186" s="25"/>
    </row>
    <row r="187" spans="2:41" x14ac:dyDescent="0.2">
      <c r="B187" s="22" t="str">
        <f>'Wzorzec kategorii'!B149</f>
        <v>Usługi inne</v>
      </c>
      <c r="C187" s="19">
        <v>0</v>
      </c>
      <c r="D187" s="20">
        <f>SUM(Tabela2750152[#This Row])</f>
        <v>0</v>
      </c>
      <c r="E187" s="20">
        <f t="shared" si="21"/>
        <v>0</v>
      </c>
      <c r="F187" s="21" t="str">
        <f t="shared" si="22"/>
        <v/>
      </c>
      <c r="G187" s="24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25"/>
      <c r="AO187" s="25"/>
    </row>
    <row r="188" spans="2:41" x14ac:dyDescent="0.2">
      <c r="B188" s="22" t="str">
        <f>'Wzorzec kategorii'!B150</f>
        <v>Podatki</v>
      </c>
      <c r="C188" s="19">
        <v>0</v>
      </c>
      <c r="D188" s="20">
        <f>SUM(Tabela2750152[#This Row])</f>
        <v>0</v>
      </c>
      <c r="E188" s="20">
        <f t="shared" si="21"/>
        <v>0</v>
      </c>
      <c r="F188" s="21" t="str">
        <f t="shared" si="22"/>
        <v/>
      </c>
      <c r="G188" s="24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25"/>
      <c r="AO188" s="25"/>
    </row>
    <row r="189" spans="2:41" x14ac:dyDescent="0.2">
      <c r="B189" s="22" t="str">
        <f>'Wzorzec kategorii'!B151</f>
        <v>Inne</v>
      </c>
      <c r="C189" s="19">
        <v>0</v>
      </c>
      <c r="D189" s="20">
        <f>SUM(Tabela2750152[#This Row])</f>
        <v>0</v>
      </c>
      <c r="E189" s="20">
        <f t="shared" si="21"/>
        <v>0</v>
      </c>
      <c r="F189" s="21" t="str">
        <f t="shared" si="22"/>
        <v/>
      </c>
      <c r="G189" s="24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25"/>
      <c r="AO189" s="25"/>
    </row>
    <row r="190" spans="2:41" x14ac:dyDescent="0.2">
      <c r="B190" s="22" t="str">
        <f>'Wzorzec kategorii'!B152</f>
        <v>.</v>
      </c>
      <c r="C190" s="19">
        <v>0</v>
      </c>
      <c r="D190" s="20">
        <f>SUM(Tabela2750152[#This Row])</f>
        <v>0</v>
      </c>
      <c r="E190" s="20">
        <f t="shared" si="21"/>
        <v>0</v>
      </c>
      <c r="F190" s="53" t="str">
        <f t="shared" si="22"/>
        <v/>
      </c>
      <c r="G190" s="54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25"/>
      <c r="AO190" s="25"/>
    </row>
    <row r="191" spans="2:41" x14ac:dyDescent="0.2">
      <c r="B191" s="22" t="str">
        <f>'Wzorzec kategorii'!B153</f>
        <v>.</v>
      </c>
      <c r="C191" s="19">
        <v>0</v>
      </c>
      <c r="D191" s="20">
        <f>SUM(Tabela2750152[#This Row])</f>
        <v>0</v>
      </c>
      <c r="E191" s="20">
        <f t="shared" si="21"/>
        <v>0</v>
      </c>
      <c r="F191" s="53" t="str">
        <f t="shared" si="22"/>
        <v/>
      </c>
      <c r="G191" s="54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25"/>
      <c r="AO191" s="25"/>
    </row>
    <row r="192" spans="2:41" x14ac:dyDescent="0.2">
      <c r="B192" s="5" t="s">
        <v>30</v>
      </c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</row>
    <row r="193" spans="2:41" x14ac:dyDescent="0.2">
      <c r="B193" s="2" t="str">
        <f>'Wzorzec kategorii'!B155</f>
        <v>Spłata długów</v>
      </c>
      <c r="C193" s="3">
        <f>SUM(Tabela1539141[[#All],[Kolumna2]])</f>
        <v>0</v>
      </c>
      <c r="D193" s="16">
        <f>SUM(Tabela1539141[[#All],[Kolumna3]])</f>
        <v>0</v>
      </c>
      <c r="E193" s="3">
        <f>C193-D193</f>
        <v>0</v>
      </c>
      <c r="F193" s="17" t="str">
        <f>IFERROR(D193/C193,"")</f>
        <v/>
      </c>
      <c r="G193" s="3"/>
      <c r="I193" s="11" t="s">
        <v>44</v>
      </c>
      <c r="J193" s="11" t="s">
        <v>45</v>
      </c>
      <c r="K193" s="11" t="s">
        <v>46</v>
      </c>
      <c r="L193" s="11" t="s">
        <v>47</v>
      </c>
      <c r="M193" s="11" t="s">
        <v>48</v>
      </c>
      <c r="N193" s="11" t="s">
        <v>49</v>
      </c>
      <c r="O193" s="11" t="s">
        <v>50</v>
      </c>
      <c r="P193" s="11" t="s">
        <v>51</v>
      </c>
      <c r="Q193" s="11" t="s">
        <v>52</v>
      </c>
      <c r="R193" s="11" t="s">
        <v>53</v>
      </c>
      <c r="S193" s="11" t="s">
        <v>54</v>
      </c>
      <c r="T193" s="11" t="s">
        <v>55</v>
      </c>
      <c r="U193" s="11" t="s">
        <v>56</v>
      </c>
      <c r="V193" s="11" t="s">
        <v>57</v>
      </c>
      <c r="W193" s="11" t="s">
        <v>58</v>
      </c>
      <c r="X193" s="11" t="s">
        <v>59</v>
      </c>
      <c r="Y193" s="11" t="s">
        <v>60</v>
      </c>
      <c r="Z193" s="11" t="s">
        <v>61</v>
      </c>
      <c r="AA193" s="11" t="s">
        <v>62</v>
      </c>
      <c r="AB193" s="11" t="s">
        <v>63</v>
      </c>
      <c r="AC193" s="11" t="s">
        <v>64</v>
      </c>
      <c r="AD193" s="11" t="s">
        <v>65</v>
      </c>
      <c r="AE193" s="11" t="s">
        <v>66</v>
      </c>
      <c r="AF193" s="11" t="s">
        <v>67</v>
      </c>
      <c r="AG193" s="11" t="s">
        <v>68</v>
      </c>
      <c r="AH193" s="11" t="s">
        <v>69</v>
      </c>
      <c r="AI193" s="11" t="s">
        <v>70</v>
      </c>
      <c r="AJ193" s="11" t="s">
        <v>71</v>
      </c>
      <c r="AK193" s="11" t="s">
        <v>72</v>
      </c>
      <c r="AL193" s="11" t="s">
        <v>73</v>
      </c>
      <c r="AM193" s="11" t="s">
        <v>74</v>
      </c>
      <c r="AN193" s="25"/>
      <c r="AO193" s="25"/>
    </row>
    <row r="194" spans="2:41" x14ac:dyDescent="0.2">
      <c r="B194" s="22" t="str">
        <f>'Wzorzec kategorii'!B156</f>
        <v>Kredyt hipoteczny</v>
      </c>
      <c r="C194" s="19">
        <v>0</v>
      </c>
      <c r="D194" s="20">
        <f>SUM(Tabela2851153[#This Row])</f>
        <v>0</v>
      </c>
      <c r="E194" s="20">
        <f t="shared" ref="E194:E203" si="23">C194-D194</f>
        <v>0</v>
      </c>
      <c r="F194" s="21" t="str">
        <f t="shared" ref="F194:F203" si="24">IFERROR(D194/C194,"")</f>
        <v/>
      </c>
      <c r="G194" s="24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25"/>
      <c r="AO194" s="25"/>
    </row>
    <row r="195" spans="2:41" x14ac:dyDescent="0.2">
      <c r="B195" s="22" t="str">
        <f>'Wzorzec kategorii'!B157</f>
        <v>Kredyt konsumpcyjny</v>
      </c>
      <c r="C195" s="19">
        <v>0</v>
      </c>
      <c r="D195" s="20">
        <f>SUM(Tabela2851153[#This Row])</f>
        <v>0</v>
      </c>
      <c r="E195" s="20">
        <f t="shared" si="23"/>
        <v>0</v>
      </c>
      <c r="F195" s="21" t="str">
        <f t="shared" si="24"/>
        <v/>
      </c>
      <c r="G195" s="24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25"/>
      <c r="AO195" s="25"/>
    </row>
    <row r="196" spans="2:41" x14ac:dyDescent="0.2">
      <c r="B196" s="22" t="str">
        <f>'Wzorzec kategorii'!B158</f>
        <v>Pożyczka osobista</v>
      </c>
      <c r="C196" s="19">
        <v>0</v>
      </c>
      <c r="D196" s="20">
        <f>SUM(Tabela2851153[#This Row])</f>
        <v>0</v>
      </c>
      <c r="E196" s="20">
        <f t="shared" si="23"/>
        <v>0</v>
      </c>
      <c r="F196" s="21" t="str">
        <f t="shared" si="24"/>
        <v/>
      </c>
      <c r="G196" s="24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25"/>
      <c r="AO196" s="25"/>
    </row>
    <row r="197" spans="2:41" x14ac:dyDescent="0.2">
      <c r="B197" s="22" t="str">
        <f>'Wzorzec kategorii'!B159</f>
        <v>Inne</v>
      </c>
      <c r="C197" s="19">
        <v>0</v>
      </c>
      <c r="D197" s="20">
        <f>SUM(Tabela2851153[#This Row])</f>
        <v>0</v>
      </c>
      <c r="E197" s="20">
        <f t="shared" si="23"/>
        <v>0</v>
      </c>
      <c r="F197" s="21" t="str">
        <f t="shared" si="24"/>
        <v/>
      </c>
      <c r="G197" s="24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25"/>
      <c r="AO197" s="25"/>
    </row>
    <row r="198" spans="2:41" x14ac:dyDescent="0.2">
      <c r="B198" s="22" t="str">
        <f>'Wzorzec kategorii'!B160</f>
        <v>.</v>
      </c>
      <c r="C198" s="19">
        <v>0</v>
      </c>
      <c r="D198" s="20">
        <f>SUM(Tabela2851153[#This Row])</f>
        <v>0</v>
      </c>
      <c r="E198" s="20">
        <f t="shared" si="23"/>
        <v>0</v>
      </c>
      <c r="F198" s="21" t="str">
        <f t="shared" si="24"/>
        <v/>
      </c>
      <c r="G198" s="24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25"/>
      <c r="AO198" s="25"/>
    </row>
    <row r="199" spans="2:41" x14ac:dyDescent="0.2">
      <c r="B199" s="22" t="str">
        <f>'Wzorzec kategorii'!B161</f>
        <v>.</v>
      </c>
      <c r="C199" s="19">
        <v>0</v>
      </c>
      <c r="D199" s="20">
        <f>SUM(Tabela2851153[#This Row])</f>
        <v>0</v>
      </c>
      <c r="E199" s="20">
        <f t="shared" si="23"/>
        <v>0</v>
      </c>
      <c r="F199" s="21" t="str">
        <f t="shared" si="24"/>
        <v/>
      </c>
      <c r="G199" s="24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25"/>
      <c r="AO199" s="25"/>
    </row>
    <row r="200" spans="2:41" x14ac:dyDescent="0.2">
      <c r="B200" s="22" t="str">
        <f>'Wzorzec kategorii'!B162</f>
        <v>.</v>
      </c>
      <c r="C200" s="19">
        <v>0</v>
      </c>
      <c r="D200" s="20">
        <f>SUM(Tabela2851153[#This Row])</f>
        <v>0</v>
      </c>
      <c r="E200" s="20">
        <f t="shared" si="23"/>
        <v>0</v>
      </c>
      <c r="F200" s="53" t="str">
        <f t="shared" si="24"/>
        <v/>
      </c>
      <c r="G200" s="54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25"/>
      <c r="AO200" s="25"/>
    </row>
    <row r="201" spans="2:41" x14ac:dyDescent="0.2">
      <c r="B201" s="22" t="str">
        <f>'Wzorzec kategorii'!B163</f>
        <v>.</v>
      </c>
      <c r="C201" s="19">
        <v>0</v>
      </c>
      <c r="D201" s="20">
        <f>SUM(Tabela2851153[#This Row])</f>
        <v>0</v>
      </c>
      <c r="E201" s="20">
        <f t="shared" si="23"/>
        <v>0</v>
      </c>
      <c r="F201" s="53" t="str">
        <f t="shared" si="24"/>
        <v/>
      </c>
      <c r="G201" s="54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25"/>
      <c r="AO201" s="25"/>
    </row>
    <row r="202" spans="2:41" x14ac:dyDescent="0.2">
      <c r="B202" s="22" t="str">
        <f>'Wzorzec kategorii'!B164</f>
        <v>.</v>
      </c>
      <c r="C202" s="19">
        <v>0</v>
      </c>
      <c r="D202" s="20">
        <f>SUM(Tabela2851153[#This Row])</f>
        <v>0</v>
      </c>
      <c r="E202" s="20">
        <f t="shared" si="23"/>
        <v>0</v>
      </c>
      <c r="F202" s="53" t="str">
        <f t="shared" si="24"/>
        <v/>
      </c>
      <c r="G202" s="54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25"/>
      <c r="AO202" s="25"/>
    </row>
    <row r="203" spans="2:41" x14ac:dyDescent="0.2">
      <c r="B203" s="22" t="str">
        <f>'Wzorzec kategorii'!B165</f>
        <v>.</v>
      </c>
      <c r="C203" s="19">
        <v>0</v>
      </c>
      <c r="D203" s="20">
        <f>SUM(Tabela2851153[#This Row])</f>
        <v>0</v>
      </c>
      <c r="E203" s="20">
        <f t="shared" si="23"/>
        <v>0</v>
      </c>
      <c r="F203" s="53" t="str">
        <f t="shared" si="24"/>
        <v/>
      </c>
      <c r="G203" s="54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25"/>
      <c r="AO203" s="25"/>
    </row>
    <row r="204" spans="2:41" x14ac:dyDescent="0.2">
      <c r="B204" s="5" t="s">
        <v>30</v>
      </c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</row>
    <row r="205" spans="2:41" x14ac:dyDescent="0.2">
      <c r="B205" s="2" t="str">
        <f>'Wzorzec kategorii'!B167</f>
        <v>Budowanie oszczędności</v>
      </c>
      <c r="C205" s="3">
        <f>SUM(Tabela1640142[[#All],[Kolumna2]])</f>
        <v>0</v>
      </c>
      <c r="D205" s="16">
        <f>SUM(Tabela1640142[[#All],[Kolumna3]])</f>
        <v>0</v>
      </c>
      <c r="E205" s="3">
        <f>C205-D205</f>
        <v>0</v>
      </c>
      <c r="F205" s="17" t="str">
        <f>IFERROR(D205/C205,"")</f>
        <v/>
      </c>
      <c r="G205" s="3"/>
      <c r="I205" s="11" t="s">
        <v>44</v>
      </c>
      <c r="J205" s="11" t="s">
        <v>45</v>
      </c>
      <c r="K205" s="11" t="s">
        <v>46</v>
      </c>
      <c r="L205" s="11" t="s">
        <v>47</v>
      </c>
      <c r="M205" s="11" t="s">
        <v>48</v>
      </c>
      <c r="N205" s="11" t="s">
        <v>49</v>
      </c>
      <c r="O205" s="11" t="s">
        <v>50</v>
      </c>
      <c r="P205" s="11" t="s">
        <v>51</v>
      </c>
      <c r="Q205" s="11" t="s">
        <v>52</v>
      </c>
      <c r="R205" s="11" t="s">
        <v>53</v>
      </c>
      <c r="S205" s="11" t="s">
        <v>54</v>
      </c>
      <c r="T205" s="11" t="s">
        <v>55</v>
      </c>
      <c r="U205" s="11" t="s">
        <v>56</v>
      </c>
      <c r="V205" s="11" t="s">
        <v>57</v>
      </c>
      <c r="W205" s="11" t="s">
        <v>58</v>
      </c>
      <c r="X205" s="11" t="s">
        <v>59</v>
      </c>
      <c r="Y205" s="11" t="s">
        <v>60</v>
      </c>
      <c r="Z205" s="11" t="s">
        <v>61</v>
      </c>
      <c r="AA205" s="11" t="s">
        <v>62</v>
      </c>
      <c r="AB205" s="11" t="s">
        <v>63</v>
      </c>
      <c r="AC205" s="11" t="s">
        <v>64</v>
      </c>
      <c r="AD205" s="11" t="s">
        <v>65</v>
      </c>
      <c r="AE205" s="11" t="s">
        <v>66</v>
      </c>
      <c r="AF205" s="11" t="s">
        <v>67</v>
      </c>
      <c r="AG205" s="11" t="s">
        <v>68</v>
      </c>
      <c r="AH205" s="11" t="s">
        <v>69</v>
      </c>
      <c r="AI205" s="11" t="s">
        <v>70</v>
      </c>
      <c r="AJ205" s="11" t="s">
        <v>71</v>
      </c>
      <c r="AK205" s="11" t="s">
        <v>72</v>
      </c>
      <c r="AL205" s="11" t="s">
        <v>73</v>
      </c>
      <c r="AM205" s="11" t="s">
        <v>74</v>
      </c>
      <c r="AN205" s="25"/>
      <c r="AO205" s="25"/>
    </row>
    <row r="206" spans="2:41" x14ac:dyDescent="0.2">
      <c r="B206" s="22" t="str">
        <f>'Wzorzec kategorii'!B168</f>
        <v>Fundusz awaryjny</v>
      </c>
      <c r="C206" s="19">
        <v>0</v>
      </c>
      <c r="D206" s="20">
        <f>SUM(Tabela192345147[#This Row])</f>
        <v>0</v>
      </c>
      <c r="E206" s="20">
        <f t="shared" ref="E206:E215" si="25">C206-D206</f>
        <v>0</v>
      </c>
      <c r="F206" s="21" t="str">
        <f t="shared" ref="F206:F215" si="26">IFERROR(D206/C206,"")</f>
        <v/>
      </c>
      <c r="G206" s="24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25"/>
      <c r="AO206" s="25"/>
    </row>
    <row r="207" spans="2:41" ht="30" x14ac:dyDescent="0.2">
      <c r="B207" s="22" t="str">
        <f>'Wzorzec kategorii'!B169</f>
        <v>Fundusz wydatków nieregularnych</v>
      </c>
      <c r="C207" s="19">
        <v>0</v>
      </c>
      <c r="D207" s="20">
        <f>SUM(Tabela192345147[#This Row])</f>
        <v>0</v>
      </c>
      <c r="E207" s="20">
        <f t="shared" si="25"/>
        <v>0</v>
      </c>
      <c r="F207" s="21" t="str">
        <f t="shared" si="26"/>
        <v/>
      </c>
      <c r="G207" s="24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25"/>
      <c r="AO207" s="25"/>
    </row>
    <row r="208" spans="2:41" x14ac:dyDescent="0.2">
      <c r="B208" s="22" t="str">
        <f>'Wzorzec kategorii'!B170</f>
        <v>Poduszka finansowa</v>
      </c>
      <c r="C208" s="19">
        <v>0</v>
      </c>
      <c r="D208" s="20">
        <f>SUM(Tabela192345147[#This Row])</f>
        <v>0</v>
      </c>
      <c r="E208" s="20">
        <f t="shared" si="25"/>
        <v>0</v>
      </c>
      <c r="F208" s="21" t="str">
        <f t="shared" si="26"/>
        <v/>
      </c>
      <c r="G208" s="24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25"/>
      <c r="AO208" s="25"/>
    </row>
    <row r="209" spans="2:41" x14ac:dyDescent="0.2">
      <c r="B209" s="22" t="str">
        <f>'Wzorzec kategorii'!B171</f>
        <v>Konto emerytalne IKE/IKZE</v>
      </c>
      <c r="C209" s="19">
        <v>0</v>
      </c>
      <c r="D209" s="20">
        <f>SUM(Tabela192345147[#This Row])</f>
        <v>0</v>
      </c>
      <c r="E209" s="20">
        <f t="shared" si="25"/>
        <v>0</v>
      </c>
      <c r="F209" s="21" t="str">
        <f t="shared" si="26"/>
        <v/>
      </c>
      <c r="G209" s="24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25"/>
      <c r="AO209" s="25"/>
    </row>
    <row r="210" spans="2:41" x14ac:dyDescent="0.2">
      <c r="B210" s="22" t="str">
        <f>'Wzorzec kategorii'!B172</f>
        <v>Nadpłata długów</v>
      </c>
      <c r="C210" s="19">
        <v>0</v>
      </c>
      <c r="D210" s="20">
        <f>SUM(Tabela192345147[#This Row])</f>
        <v>0</v>
      </c>
      <c r="E210" s="20">
        <f t="shared" si="25"/>
        <v>0</v>
      </c>
      <c r="F210" s="21" t="str">
        <f t="shared" si="26"/>
        <v/>
      </c>
      <c r="G210" s="24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25"/>
      <c r="AO210" s="25"/>
    </row>
    <row r="211" spans="2:41" x14ac:dyDescent="0.2">
      <c r="B211" s="22" t="str">
        <f>'Wzorzec kategorii'!B173</f>
        <v>Fundusz: wakacje</v>
      </c>
      <c r="C211" s="19">
        <v>0</v>
      </c>
      <c r="D211" s="20">
        <f>SUM(Tabela192345147[#This Row])</f>
        <v>0</v>
      </c>
      <c r="E211" s="20">
        <f t="shared" si="25"/>
        <v>0</v>
      </c>
      <c r="F211" s="21" t="str">
        <f t="shared" si="26"/>
        <v/>
      </c>
      <c r="G211" s="24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25"/>
      <c r="AO211" s="25"/>
    </row>
    <row r="212" spans="2:41" x14ac:dyDescent="0.2">
      <c r="B212" s="22" t="str">
        <f>'Wzorzec kategorii'!B174</f>
        <v>Fundusz: prezenty świąteczne</v>
      </c>
      <c r="C212" s="19">
        <v>0</v>
      </c>
      <c r="D212" s="20">
        <f>SUM(Tabela192345147[#This Row])</f>
        <v>0</v>
      </c>
      <c r="E212" s="20">
        <f t="shared" si="25"/>
        <v>0</v>
      </c>
      <c r="F212" s="21" t="str">
        <f t="shared" si="26"/>
        <v/>
      </c>
      <c r="G212" s="24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25"/>
      <c r="AO212" s="25"/>
    </row>
    <row r="213" spans="2:41" x14ac:dyDescent="0.2">
      <c r="B213" s="22" t="str">
        <f>'Wzorzec kategorii'!B175</f>
        <v>Inne</v>
      </c>
      <c r="C213" s="19">
        <v>0</v>
      </c>
      <c r="D213" s="20">
        <f>SUM(Tabela192345147[#This Row])</f>
        <v>0</v>
      </c>
      <c r="E213" s="20">
        <f t="shared" si="25"/>
        <v>0</v>
      </c>
      <c r="F213" s="21" t="str">
        <f t="shared" si="26"/>
        <v/>
      </c>
      <c r="G213" s="24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25"/>
      <c r="AO213" s="25"/>
    </row>
    <row r="214" spans="2:41" x14ac:dyDescent="0.2">
      <c r="B214" s="22" t="str">
        <f>'Wzorzec kategorii'!B176</f>
        <v>.</v>
      </c>
      <c r="C214" s="19">
        <v>0</v>
      </c>
      <c r="D214" s="20">
        <f>SUM(Tabela192345147[#This Row])</f>
        <v>0</v>
      </c>
      <c r="E214" s="20">
        <f t="shared" si="25"/>
        <v>0</v>
      </c>
      <c r="F214" s="53" t="str">
        <f t="shared" si="26"/>
        <v/>
      </c>
      <c r="G214" s="54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25"/>
      <c r="AO214" s="25"/>
    </row>
    <row r="215" spans="2:41" x14ac:dyDescent="0.2">
      <c r="B215" s="22" t="str">
        <f>'Wzorzec kategorii'!B177</f>
        <v>.</v>
      </c>
      <c r="C215" s="19">
        <v>0</v>
      </c>
      <c r="D215" s="20">
        <f>SUM(Tabela192345147[#This Row])</f>
        <v>0</v>
      </c>
      <c r="E215" s="20">
        <f t="shared" si="25"/>
        <v>0</v>
      </c>
      <c r="F215" s="53" t="str">
        <f t="shared" si="26"/>
        <v/>
      </c>
      <c r="G215" s="54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25"/>
      <c r="AO215" s="25"/>
    </row>
    <row r="216" spans="2:41" x14ac:dyDescent="0.2"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</row>
    <row r="217" spans="2:41" x14ac:dyDescent="0.2">
      <c r="B217" s="2" t="str">
        <f>'Wzorzec kategorii'!B179</f>
        <v>INNE 1</v>
      </c>
      <c r="C217" s="3">
        <f>SUM(Tabela164058154[[#All],[Kolumna2]])</f>
        <v>0</v>
      </c>
      <c r="D217" s="16">
        <f>SUM(Tabela164058154[[#All],[Kolumna3]])</f>
        <v>0</v>
      </c>
      <c r="E217" s="3">
        <f>C217-D217</f>
        <v>0</v>
      </c>
      <c r="F217" s="17" t="str">
        <f>IFERROR(D217/C217,"")</f>
        <v/>
      </c>
      <c r="G217" s="3"/>
      <c r="I217" s="11" t="s">
        <v>44</v>
      </c>
      <c r="J217" s="11" t="s">
        <v>45</v>
      </c>
      <c r="K217" s="11" t="s">
        <v>46</v>
      </c>
      <c r="L217" s="11" t="s">
        <v>47</v>
      </c>
      <c r="M217" s="11" t="s">
        <v>48</v>
      </c>
      <c r="N217" s="11" t="s">
        <v>49</v>
      </c>
      <c r="O217" s="11" t="s">
        <v>50</v>
      </c>
      <c r="P217" s="11" t="s">
        <v>51</v>
      </c>
      <c r="Q217" s="11" t="s">
        <v>52</v>
      </c>
      <c r="R217" s="11" t="s">
        <v>53</v>
      </c>
      <c r="S217" s="11" t="s">
        <v>54</v>
      </c>
      <c r="T217" s="11" t="s">
        <v>55</v>
      </c>
      <c r="U217" s="11" t="s">
        <v>56</v>
      </c>
      <c r="V217" s="11" t="s">
        <v>57</v>
      </c>
      <c r="W217" s="11" t="s">
        <v>58</v>
      </c>
      <c r="X217" s="11" t="s">
        <v>59</v>
      </c>
      <c r="Y217" s="11" t="s">
        <v>60</v>
      </c>
      <c r="Z217" s="11" t="s">
        <v>61</v>
      </c>
      <c r="AA217" s="11" t="s">
        <v>62</v>
      </c>
      <c r="AB217" s="11" t="s">
        <v>63</v>
      </c>
      <c r="AC217" s="11" t="s">
        <v>64</v>
      </c>
      <c r="AD217" s="11" t="s">
        <v>65</v>
      </c>
      <c r="AE217" s="11" t="s">
        <v>66</v>
      </c>
      <c r="AF217" s="11" t="s">
        <v>67</v>
      </c>
      <c r="AG217" s="11" t="s">
        <v>68</v>
      </c>
      <c r="AH217" s="11" t="s">
        <v>69</v>
      </c>
      <c r="AI217" s="11" t="s">
        <v>70</v>
      </c>
      <c r="AJ217" s="11" t="s">
        <v>71</v>
      </c>
      <c r="AK217" s="11" t="s">
        <v>72</v>
      </c>
      <c r="AL217" s="11" t="s">
        <v>73</v>
      </c>
      <c r="AM217" s="11" t="s">
        <v>74</v>
      </c>
    </row>
    <row r="218" spans="2:41" x14ac:dyDescent="0.2">
      <c r="B218" s="22" t="str">
        <f>'Wzorzec kategorii'!B180</f>
        <v>.</v>
      </c>
      <c r="C218" s="19">
        <v>0</v>
      </c>
      <c r="D218" s="20">
        <f>SUM(Tabela19234559155[#This Row])</f>
        <v>0</v>
      </c>
      <c r="E218" s="20">
        <f t="shared" ref="E218:E227" si="27">C218-D218</f>
        <v>0</v>
      </c>
      <c r="F218" s="21" t="str">
        <f t="shared" ref="F218:F227" si="28">IFERROR(D218/C218,"")</f>
        <v/>
      </c>
      <c r="G218" s="24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2:41" x14ac:dyDescent="0.2">
      <c r="B219" s="22" t="str">
        <f>'Wzorzec kategorii'!B181</f>
        <v>.</v>
      </c>
      <c r="C219" s="19">
        <v>0</v>
      </c>
      <c r="D219" s="20">
        <f>SUM(Tabela19234559155[#This Row])</f>
        <v>0</v>
      </c>
      <c r="E219" s="20">
        <f t="shared" si="27"/>
        <v>0</v>
      </c>
      <c r="F219" s="21" t="str">
        <f t="shared" si="28"/>
        <v/>
      </c>
      <c r="G219" s="24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 spans="2:41" x14ac:dyDescent="0.2">
      <c r="B220" s="22" t="str">
        <f>'Wzorzec kategorii'!B182</f>
        <v>.</v>
      </c>
      <c r="C220" s="19">
        <v>0</v>
      </c>
      <c r="D220" s="20">
        <f>SUM(Tabela19234559155[#This Row])</f>
        <v>0</v>
      </c>
      <c r="E220" s="20">
        <f t="shared" si="27"/>
        <v>0</v>
      </c>
      <c r="F220" s="21" t="str">
        <f t="shared" si="28"/>
        <v/>
      </c>
      <c r="G220" s="24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 spans="2:41" x14ac:dyDescent="0.2">
      <c r="B221" s="22" t="str">
        <f>'Wzorzec kategorii'!B183</f>
        <v>.</v>
      </c>
      <c r="C221" s="19">
        <v>0</v>
      </c>
      <c r="D221" s="20">
        <f>SUM(Tabela19234559155[#This Row])</f>
        <v>0</v>
      </c>
      <c r="E221" s="20">
        <f t="shared" si="27"/>
        <v>0</v>
      </c>
      <c r="F221" s="21" t="str">
        <f t="shared" si="28"/>
        <v/>
      </c>
      <c r="G221" s="24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 spans="2:41" x14ac:dyDescent="0.2">
      <c r="B222" s="22" t="str">
        <f>'Wzorzec kategorii'!B184</f>
        <v>.</v>
      </c>
      <c r="C222" s="19">
        <v>0</v>
      </c>
      <c r="D222" s="20">
        <f>SUM(Tabela19234559155[#This Row])</f>
        <v>0</v>
      </c>
      <c r="E222" s="20">
        <f t="shared" si="27"/>
        <v>0</v>
      </c>
      <c r="F222" s="21" t="str">
        <f t="shared" si="28"/>
        <v/>
      </c>
      <c r="G222" s="24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</row>
    <row r="223" spans="2:41" x14ac:dyDescent="0.2">
      <c r="B223" s="22" t="str">
        <f>'Wzorzec kategorii'!B185</f>
        <v>.</v>
      </c>
      <c r="C223" s="19">
        <v>0</v>
      </c>
      <c r="D223" s="20">
        <f>SUM(Tabela19234559155[#This Row])</f>
        <v>0</v>
      </c>
      <c r="E223" s="20">
        <f t="shared" si="27"/>
        <v>0</v>
      </c>
      <c r="F223" s="21" t="str">
        <f t="shared" si="28"/>
        <v/>
      </c>
      <c r="G223" s="24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</row>
    <row r="224" spans="2:41" x14ac:dyDescent="0.2">
      <c r="B224" s="22" t="str">
        <f>'Wzorzec kategorii'!B186</f>
        <v>.</v>
      </c>
      <c r="C224" s="19">
        <v>0</v>
      </c>
      <c r="D224" s="20">
        <f>SUM(Tabela19234559155[#This Row])</f>
        <v>0</v>
      </c>
      <c r="E224" s="20">
        <f t="shared" si="27"/>
        <v>0</v>
      </c>
      <c r="F224" s="21" t="str">
        <f t="shared" si="28"/>
        <v/>
      </c>
      <c r="G224" s="24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2:39" x14ac:dyDescent="0.2">
      <c r="B225" s="22" t="str">
        <f>'Wzorzec kategorii'!B187</f>
        <v>.</v>
      </c>
      <c r="C225" s="19">
        <v>0</v>
      </c>
      <c r="D225" s="20">
        <f>SUM(Tabela19234559155[#This Row])</f>
        <v>0</v>
      </c>
      <c r="E225" s="20">
        <f t="shared" si="27"/>
        <v>0</v>
      </c>
      <c r="F225" s="21" t="str">
        <f t="shared" si="28"/>
        <v/>
      </c>
      <c r="G225" s="24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 spans="2:39" x14ac:dyDescent="0.2">
      <c r="B226" s="22" t="str">
        <f>'Wzorzec kategorii'!B188</f>
        <v>.</v>
      </c>
      <c r="C226" s="19">
        <v>0</v>
      </c>
      <c r="D226" s="20">
        <f>SUM(Tabela19234559155[#This Row])</f>
        <v>0</v>
      </c>
      <c r="E226" s="20">
        <f t="shared" si="27"/>
        <v>0</v>
      </c>
      <c r="F226" s="53" t="str">
        <f t="shared" si="28"/>
        <v/>
      </c>
      <c r="G226" s="54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</row>
    <row r="227" spans="2:39" x14ac:dyDescent="0.2">
      <c r="B227" s="22" t="str">
        <f>'Wzorzec kategorii'!B189</f>
        <v>.</v>
      </c>
      <c r="C227" s="19">
        <v>0</v>
      </c>
      <c r="D227" s="20">
        <f>SUM(Tabela19234559155[#This Row])</f>
        <v>0</v>
      </c>
      <c r="E227" s="20">
        <f t="shared" si="27"/>
        <v>0</v>
      </c>
      <c r="F227" s="53" t="str">
        <f t="shared" si="28"/>
        <v/>
      </c>
      <c r="G227" s="54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</row>
    <row r="228" spans="2:39" x14ac:dyDescent="0.2"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</row>
    <row r="229" spans="2:39" x14ac:dyDescent="0.2">
      <c r="B229" s="2" t="str">
        <f>'Wzorzec kategorii'!B191</f>
        <v>INNE 2</v>
      </c>
      <c r="C229" s="3">
        <f>SUM(Tabela16405860156[[#All],[Kolumna2]])</f>
        <v>0</v>
      </c>
      <c r="D229" s="16">
        <f>SUM(Tabela16405860156[[#All],[Kolumna3]])</f>
        <v>0</v>
      </c>
      <c r="E229" s="3">
        <f>C229-D229</f>
        <v>0</v>
      </c>
      <c r="F229" s="17" t="str">
        <f>IFERROR(D229/C229,"")</f>
        <v/>
      </c>
      <c r="G229" s="3"/>
      <c r="I229" s="11" t="s">
        <v>44</v>
      </c>
      <c r="J229" s="11" t="s">
        <v>45</v>
      </c>
      <c r="K229" s="11" t="s">
        <v>46</v>
      </c>
      <c r="L229" s="11" t="s">
        <v>47</v>
      </c>
      <c r="M229" s="11" t="s">
        <v>48</v>
      </c>
      <c r="N229" s="11" t="s">
        <v>49</v>
      </c>
      <c r="O229" s="11" t="s">
        <v>50</v>
      </c>
      <c r="P229" s="11" t="s">
        <v>51</v>
      </c>
      <c r="Q229" s="11" t="s">
        <v>52</v>
      </c>
      <c r="R229" s="11" t="s">
        <v>53</v>
      </c>
      <c r="S229" s="11" t="s">
        <v>54</v>
      </c>
      <c r="T229" s="11" t="s">
        <v>55</v>
      </c>
      <c r="U229" s="11" t="s">
        <v>56</v>
      </c>
      <c r="V229" s="11" t="s">
        <v>57</v>
      </c>
      <c r="W229" s="11" t="s">
        <v>58</v>
      </c>
      <c r="X229" s="11" t="s">
        <v>59</v>
      </c>
      <c r="Y229" s="11" t="s">
        <v>60</v>
      </c>
      <c r="Z229" s="11" t="s">
        <v>61</v>
      </c>
      <c r="AA229" s="11" t="s">
        <v>62</v>
      </c>
      <c r="AB229" s="11" t="s">
        <v>63</v>
      </c>
      <c r="AC229" s="11" t="s">
        <v>64</v>
      </c>
      <c r="AD229" s="11" t="s">
        <v>65</v>
      </c>
      <c r="AE229" s="11" t="s">
        <v>66</v>
      </c>
      <c r="AF229" s="11" t="s">
        <v>67</v>
      </c>
      <c r="AG229" s="11" t="s">
        <v>68</v>
      </c>
      <c r="AH229" s="11" t="s">
        <v>69</v>
      </c>
      <c r="AI229" s="11" t="s">
        <v>70</v>
      </c>
      <c r="AJ229" s="11" t="s">
        <v>71</v>
      </c>
      <c r="AK229" s="11" t="s">
        <v>72</v>
      </c>
      <c r="AL229" s="11" t="s">
        <v>73</v>
      </c>
      <c r="AM229" s="11" t="s">
        <v>74</v>
      </c>
    </row>
    <row r="230" spans="2:39" x14ac:dyDescent="0.2">
      <c r="B230" s="22" t="str">
        <f>'Wzorzec kategorii'!B192</f>
        <v>.</v>
      </c>
      <c r="C230" s="19">
        <v>0</v>
      </c>
      <c r="D230" s="20">
        <f>SUM(Tabela1923455962158[#This Row])</f>
        <v>0</v>
      </c>
      <c r="E230" s="20">
        <f t="shared" ref="E230:E239" si="29">C230-D230</f>
        <v>0</v>
      </c>
      <c r="F230" s="21" t="str">
        <f t="shared" ref="F230:F239" si="30">IFERROR(D230/C230,"")</f>
        <v/>
      </c>
      <c r="G230" s="24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2:39" x14ac:dyDescent="0.2">
      <c r="B231" s="22" t="str">
        <f>'Wzorzec kategorii'!B193</f>
        <v>.</v>
      </c>
      <c r="C231" s="19">
        <v>0</v>
      </c>
      <c r="D231" s="20">
        <f>SUM(Tabela1923455962158[#This Row])</f>
        <v>0</v>
      </c>
      <c r="E231" s="20">
        <f t="shared" si="29"/>
        <v>0</v>
      </c>
      <c r="F231" s="21" t="str">
        <f t="shared" si="30"/>
        <v/>
      </c>
      <c r="G231" s="24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 spans="2:39" x14ac:dyDescent="0.2">
      <c r="B232" s="22" t="str">
        <f>'Wzorzec kategorii'!B194</f>
        <v>.</v>
      </c>
      <c r="C232" s="19">
        <v>0</v>
      </c>
      <c r="D232" s="20">
        <f>SUM(Tabela1923455962158[#This Row])</f>
        <v>0</v>
      </c>
      <c r="E232" s="20">
        <f t="shared" si="29"/>
        <v>0</v>
      </c>
      <c r="F232" s="21" t="str">
        <f t="shared" si="30"/>
        <v/>
      </c>
      <c r="G232" s="24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</row>
    <row r="233" spans="2:39" x14ac:dyDescent="0.2">
      <c r="B233" s="22" t="str">
        <f>'Wzorzec kategorii'!B195</f>
        <v>.</v>
      </c>
      <c r="C233" s="19">
        <v>0</v>
      </c>
      <c r="D233" s="20">
        <f>SUM(Tabela1923455962158[#This Row])</f>
        <v>0</v>
      </c>
      <c r="E233" s="20">
        <f t="shared" si="29"/>
        <v>0</v>
      </c>
      <c r="F233" s="21" t="str">
        <f t="shared" si="30"/>
        <v/>
      </c>
      <c r="G233" s="24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2:39" x14ac:dyDescent="0.2">
      <c r="B234" s="22" t="str">
        <f>'Wzorzec kategorii'!B196</f>
        <v>.</v>
      </c>
      <c r="C234" s="19">
        <v>0</v>
      </c>
      <c r="D234" s="20">
        <f>SUM(Tabela1923455962158[#This Row])</f>
        <v>0</v>
      </c>
      <c r="E234" s="20">
        <f t="shared" si="29"/>
        <v>0</v>
      </c>
      <c r="F234" s="21" t="str">
        <f t="shared" si="30"/>
        <v/>
      </c>
      <c r="G234" s="24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 spans="2:39" x14ac:dyDescent="0.2">
      <c r="B235" s="22" t="str">
        <f>'Wzorzec kategorii'!B197</f>
        <v>.</v>
      </c>
      <c r="C235" s="19">
        <v>0</v>
      </c>
      <c r="D235" s="20">
        <f>SUM(Tabela1923455962158[#This Row])</f>
        <v>0</v>
      </c>
      <c r="E235" s="20">
        <f t="shared" si="29"/>
        <v>0</v>
      </c>
      <c r="F235" s="21" t="str">
        <f t="shared" si="30"/>
        <v/>
      </c>
      <c r="G235" s="24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 spans="2:39" x14ac:dyDescent="0.2">
      <c r="B236" s="22" t="str">
        <f>'Wzorzec kategorii'!B198</f>
        <v>.</v>
      </c>
      <c r="C236" s="19">
        <v>0</v>
      </c>
      <c r="D236" s="20">
        <f>SUM(Tabela1923455962158[#This Row])</f>
        <v>0</v>
      </c>
      <c r="E236" s="20">
        <f t="shared" si="29"/>
        <v>0</v>
      </c>
      <c r="F236" s="21" t="str">
        <f t="shared" si="30"/>
        <v/>
      </c>
      <c r="G236" s="24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 spans="2:39" x14ac:dyDescent="0.2">
      <c r="B237" s="22" t="str">
        <f>'Wzorzec kategorii'!B199</f>
        <v>.</v>
      </c>
      <c r="C237" s="19">
        <v>0</v>
      </c>
      <c r="D237" s="20">
        <f>SUM(Tabela1923455962158[#This Row])</f>
        <v>0</v>
      </c>
      <c r="E237" s="20">
        <f t="shared" si="29"/>
        <v>0</v>
      </c>
      <c r="F237" s="21" t="str">
        <f t="shared" si="30"/>
        <v/>
      </c>
      <c r="G237" s="24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 spans="2:39" x14ac:dyDescent="0.2">
      <c r="B238" s="22" t="str">
        <f>'Wzorzec kategorii'!B200</f>
        <v>.</v>
      </c>
      <c r="C238" s="19">
        <v>0</v>
      </c>
      <c r="D238" s="20">
        <f>SUM(Tabela1923455962158[#This Row])</f>
        <v>0</v>
      </c>
      <c r="E238" s="20">
        <f t="shared" si="29"/>
        <v>0</v>
      </c>
      <c r="F238" s="53" t="str">
        <f t="shared" si="30"/>
        <v/>
      </c>
      <c r="G238" s="54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</row>
    <row r="239" spans="2:39" x14ac:dyDescent="0.2">
      <c r="B239" s="22" t="str">
        <f>'Wzorzec kategorii'!B201</f>
        <v>.</v>
      </c>
      <c r="C239" s="19">
        <v>0</v>
      </c>
      <c r="D239" s="20">
        <f>SUM(Tabela1923455962158[#This Row])</f>
        <v>0</v>
      </c>
      <c r="E239" s="20">
        <f t="shared" si="29"/>
        <v>0</v>
      </c>
      <c r="F239" s="53" t="str">
        <f t="shared" si="30"/>
        <v/>
      </c>
      <c r="G239" s="54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</row>
    <row r="240" spans="2:39" x14ac:dyDescent="0.2"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</row>
    <row r="241" spans="2:39" x14ac:dyDescent="0.2">
      <c r="B241" s="2" t="str">
        <f>'Wzorzec kategorii'!B203</f>
        <v>INNE 3</v>
      </c>
      <c r="C241" s="3">
        <f>SUM(Tabela1640586061157[[#All],[Kolumna2]])</f>
        <v>0</v>
      </c>
      <c r="D241" s="16">
        <f>SUM(Tabela1640586061157[[#All],[Kolumna3]])</f>
        <v>0</v>
      </c>
      <c r="E241" s="3">
        <f>C241-D241</f>
        <v>0</v>
      </c>
      <c r="F241" s="17" t="str">
        <f>IFERROR(D241/C241,"")</f>
        <v/>
      </c>
      <c r="G241" s="3"/>
      <c r="I241" s="11" t="s">
        <v>44</v>
      </c>
      <c r="J241" s="11" t="s">
        <v>45</v>
      </c>
      <c r="K241" s="11" t="s">
        <v>46</v>
      </c>
      <c r="L241" s="11" t="s">
        <v>47</v>
      </c>
      <c r="M241" s="11" t="s">
        <v>48</v>
      </c>
      <c r="N241" s="11" t="s">
        <v>49</v>
      </c>
      <c r="O241" s="11" t="s">
        <v>50</v>
      </c>
      <c r="P241" s="11" t="s">
        <v>51</v>
      </c>
      <c r="Q241" s="11" t="s">
        <v>52</v>
      </c>
      <c r="R241" s="11" t="s">
        <v>53</v>
      </c>
      <c r="S241" s="11" t="s">
        <v>54</v>
      </c>
      <c r="T241" s="11" t="s">
        <v>55</v>
      </c>
      <c r="U241" s="11" t="s">
        <v>56</v>
      </c>
      <c r="V241" s="11" t="s">
        <v>57</v>
      </c>
      <c r="W241" s="11" t="s">
        <v>58</v>
      </c>
      <c r="X241" s="11" t="s">
        <v>59</v>
      </c>
      <c r="Y241" s="11" t="s">
        <v>60</v>
      </c>
      <c r="Z241" s="11" t="s">
        <v>61</v>
      </c>
      <c r="AA241" s="11" t="s">
        <v>62</v>
      </c>
      <c r="AB241" s="11" t="s">
        <v>63</v>
      </c>
      <c r="AC241" s="11" t="s">
        <v>64</v>
      </c>
      <c r="AD241" s="11" t="s">
        <v>65</v>
      </c>
      <c r="AE241" s="11" t="s">
        <v>66</v>
      </c>
      <c r="AF241" s="11" t="s">
        <v>67</v>
      </c>
      <c r="AG241" s="11" t="s">
        <v>68</v>
      </c>
      <c r="AH241" s="11" t="s">
        <v>69</v>
      </c>
      <c r="AI241" s="11" t="s">
        <v>70</v>
      </c>
      <c r="AJ241" s="11" t="s">
        <v>71</v>
      </c>
      <c r="AK241" s="11" t="s">
        <v>72</v>
      </c>
      <c r="AL241" s="11" t="s">
        <v>73</v>
      </c>
      <c r="AM241" s="11" t="s">
        <v>74</v>
      </c>
    </row>
    <row r="242" spans="2:39" x14ac:dyDescent="0.2">
      <c r="B242" s="22" t="str">
        <f>'Wzorzec kategorii'!B204</f>
        <v>.</v>
      </c>
      <c r="C242" s="19">
        <v>0</v>
      </c>
      <c r="D242" s="20">
        <f>SUM(Tabela1923455963159[#This Row])</f>
        <v>0</v>
      </c>
      <c r="E242" s="20">
        <f t="shared" ref="E242:E251" si="31">C242-D242</f>
        <v>0</v>
      </c>
      <c r="F242" s="21" t="str">
        <f t="shared" ref="F242:F251" si="32">IFERROR(D242/C242,"")</f>
        <v/>
      </c>
      <c r="G242" s="24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2:39" x14ac:dyDescent="0.2">
      <c r="B243" s="22" t="str">
        <f>'Wzorzec kategorii'!B205</f>
        <v>.</v>
      </c>
      <c r="C243" s="19">
        <v>0</v>
      </c>
      <c r="D243" s="20">
        <f>SUM(Tabela1923455963159[#This Row])</f>
        <v>0</v>
      </c>
      <c r="E243" s="20">
        <f t="shared" si="31"/>
        <v>0</v>
      </c>
      <c r="F243" s="21" t="str">
        <f t="shared" si="32"/>
        <v/>
      </c>
      <c r="G243" s="24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 spans="2:39" x14ac:dyDescent="0.2">
      <c r="B244" s="22" t="str">
        <f>'Wzorzec kategorii'!B206</f>
        <v>.</v>
      </c>
      <c r="C244" s="19">
        <v>0</v>
      </c>
      <c r="D244" s="20">
        <f>SUM(Tabela1923455963159[#This Row])</f>
        <v>0</v>
      </c>
      <c r="E244" s="20">
        <f t="shared" si="31"/>
        <v>0</v>
      </c>
      <c r="F244" s="21" t="str">
        <f t="shared" si="32"/>
        <v/>
      </c>
      <c r="G244" s="24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 spans="2:39" x14ac:dyDescent="0.2">
      <c r="B245" s="22" t="str">
        <f>'Wzorzec kategorii'!B207</f>
        <v>.</v>
      </c>
      <c r="C245" s="19">
        <v>0</v>
      </c>
      <c r="D245" s="20">
        <f>SUM(Tabela1923455963159[#This Row])</f>
        <v>0</v>
      </c>
      <c r="E245" s="20">
        <f t="shared" si="31"/>
        <v>0</v>
      </c>
      <c r="F245" s="21" t="str">
        <f t="shared" si="32"/>
        <v/>
      </c>
      <c r="G245" s="24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2:39" x14ac:dyDescent="0.2">
      <c r="B246" s="22" t="str">
        <f>'Wzorzec kategorii'!B208</f>
        <v>.</v>
      </c>
      <c r="C246" s="19">
        <v>0</v>
      </c>
      <c r="D246" s="20">
        <f>SUM(Tabela1923455963159[#This Row])</f>
        <v>0</v>
      </c>
      <c r="E246" s="20">
        <f t="shared" si="31"/>
        <v>0</v>
      </c>
      <c r="F246" s="21" t="str">
        <f t="shared" si="32"/>
        <v/>
      </c>
      <c r="G246" s="24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 spans="2:39" x14ac:dyDescent="0.2">
      <c r="B247" s="22" t="str">
        <f>'Wzorzec kategorii'!B209</f>
        <v>.</v>
      </c>
      <c r="C247" s="19">
        <v>0</v>
      </c>
      <c r="D247" s="20">
        <f>SUM(Tabela1923455963159[#This Row])</f>
        <v>0</v>
      </c>
      <c r="E247" s="20">
        <f t="shared" si="31"/>
        <v>0</v>
      </c>
      <c r="F247" s="21" t="str">
        <f t="shared" si="32"/>
        <v/>
      </c>
      <c r="G247" s="24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</row>
    <row r="248" spans="2:39" x14ac:dyDescent="0.2">
      <c r="B248" s="22" t="str">
        <f>'Wzorzec kategorii'!B210</f>
        <v>.</v>
      </c>
      <c r="C248" s="19">
        <v>0</v>
      </c>
      <c r="D248" s="20">
        <f>SUM(Tabela1923455963159[#This Row])</f>
        <v>0</v>
      </c>
      <c r="E248" s="20">
        <f t="shared" si="31"/>
        <v>0</v>
      </c>
      <c r="F248" s="21" t="str">
        <f t="shared" si="32"/>
        <v/>
      </c>
      <c r="G248" s="24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 spans="2:39" x14ac:dyDescent="0.2">
      <c r="B249" s="22" t="str">
        <f>'Wzorzec kategorii'!B211</f>
        <v>.</v>
      </c>
      <c r="C249" s="19">
        <v>0</v>
      </c>
      <c r="D249" s="20">
        <f>SUM(Tabela1923455963159[#This Row])</f>
        <v>0</v>
      </c>
      <c r="E249" s="20">
        <f t="shared" si="31"/>
        <v>0</v>
      </c>
      <c r="F249" s="21" t="str">
        <f t="shared" si="32"/>
        <v/>
      </c>
      <c r="G249" s="24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 spans="2:39" x14ac:dyDescent="0.2">
      <c r="B250" s="22" t="str">
        <f>'Wzorzec kategorii'!B212</f>
        <v>.</v>
      </c>
      <c r="C250" s="19">
        <v>0</v>
      </c>
      <c r="D250" s="20">
        <f>SUM(Tabela1923455963159[#This Row])</f>
        <v>0</v>
      </c>
      <c r="E250" s="20">
        <f t="shared" si="31"/>
        <v>0</v>
      </c>
      <c r="F250" s="53" t="str">
        <f t="shared" si="32"/>
        <v/>
      </c>
      <c r="G250" s="54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</row>
    <row r="251" spans="2:39" x14ac:dyDescent="0.2">
      <c r="B251" s="22" t="str">
        <f>'Wzorzec kategorii'!B213</f>
        <v>.</v>
      </c>
      <c r="C251" s="19">
        <v>0</v>
      </c>
      <c r="D251" s="20">
        <f>SUM(Tabela1923455963159[#This Row])</f>
        <v>0</v>
      </c>
      <c r="E251" s="20">
        <f t="shared" si="31"/>
        <v>0</v>
      </c>
      <c r="F251" s="53" t="str">
        <f t="shared" si="32"/>
        <v/>
      </c>
      <c r="G251" s="54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</row>
    <row r="252" spans="2:39" x14ac:dyDescent="0.2"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</row>
    <row r="253" spans="2:39" ht="30" x14ac:dyDescent="0.2">
      <c r="C253" s="9" t="s">
        <v>131</v>
      </c>
      <c r="D253" s="10" t="s">
        <v>135</v>
      </c>
      <c r="E253" s="8" t="s">
        <v>129</v>
      </c>
      <c r="I253" s="9" t="s">
        <v>44</v>
      </c>
      <c r="J253" s="9" t="s">
        <v>45</v>
      </c>
      <c r="K253" s="9" t="s">
        <v>46</v>
      </c>
      <c r="L253" s="9" t="s">
        <v>47</v>
      </c>
      <c r="M253" s="9" t="s">
        <v>48</v>
      </c>
      <c r="N253" s="9" t="s">
        <v>49</v>
      </c>
      <c r="O253" s="9" t="s">
        <v>50</v>
      </c>
      <c r="P253" s="9" t="s">
        <v>51</v>
      </c>
      <c r="Q253" s="9" t="s">
        <v>52</v>
      </c>
      <c r="R253" s="9" t="s">
        <v>53</v>
      </c>
      <c r="S253" s="9" t="s">
        <v>54</v>
      </c>
      <c r="T253" s="9" t="s">
        <v>55</v>
      </c>
      <c r="U253" s="9" t="s">
        <v>56</v>
      </c>
      <c r="V253" s="9" t="s">
        <v>57</v>
      </c>
      <c r="W253" s="9" t="s">
        <v>58</v>
      </c>
      <c r="X253" s="9" t="s">
        <v>59</v>
      </c>
      <c r="Y253" s="9" t="s">
        <v>60</v>
      </c>
      <c r="Z253" s="9" t="s">
        <v>61</v>
      </c>
      <c r="AA253" s="9" t="s">
        <v>62</v>
      </c>
      <c r="AB253" s="9" t="s">
        <v>63</v>
      </c>
      <c r="AC253" s="9" t="s">
        <v>64</v>
      </c>
      <c r="AD253" s="9" t="s">
        <v>65</v>
      </c>
      <c r="AE253" s="9" t="s">
        <v>66</v>
      </c>
      <c r="AF253" s="9" t="s">
        <v>67</v>
      </c>
      <c r="AG253" s="9" t="s">
        <v>68</v>
      </c>
      <c r="AH253" s="9" t="s">
        <v>69</v>
      </c>
      <c r="AI253" s="9" t="s">
        <v>70</v>
      </c>
      <c r="AJ253" s="9" t="s">
        <v>71</v>
      </c>
      <c r="AK253" s="9" t="s">
        <v>72</v>
      </c>
      <c r="AL253" s="9" t="s">
        <v>73</v>
      </c>
      <c r="AM253" s="9" t="s">
        <v>74</v>
      </c>
    </row>
    <row r="254" spans="2:39" ht="22" customHeight="1" x14ac:dyDescent="0.2">
      <c r="B254" s="39" t="s">
        <v>31</v>
      </c>
      <c r="C254" s="40">
        <f>C71</f>
        <v>0</v>
      </c>
      <c r="D254" s="40">
        <f>D71</f>
        <v>0</v>
      </c>
      <c r="E254" s="40">
        <f>C254-D254</f>
        <v>0</v>
      </c>
      <c r="G254" s="39" t="s">
        <v>126</v>
      </c>
      <c r="I254" s="43">
        <f>SUM(I73:I251)</f>
        <v>0</v>
      </c>
      <c r="J254" s="43">
        <f>SUM(J73:J251)</f>
        <v>0</v>
      </c>
      <c r="K254" s="43">
        <f>SUM(K73:K251)</f>
        <v>0</v>
      </c>
      <c r="L254" s="43">
        <f t="shared" ref="L254:AM254" si="33">SUM(L73:L251)</f>
        <v>0</v>
      </c>
      <c r="M254" s="43">
        <f t="shared" si="33"/>
        <v>0</v>
      </c>
      <c r="N254" s="43">
        <f t="shared" si="33"/>
        <v>0</v>
      </c>
      <c r="O254" s="43">
        <f t="shared" si="33"/>
        <v>0</v>
      </c>
      <c r="P254" s="43">
        <f t="shared" si="33"/>
        <v>0</v>
      </c>
      <c r="Q254" s="43">
        <f t="shared" si="33"/>
        <v>0</v>
      </c>
      <c r="R254" s="43">
        <f t="shared" si="33"/>
        <v>0</v>
      </c>
      <c r="S254" s="43">
        <f t="shared" si="33"/>
        <v>0</v>
      </c>
      <c r="T254" s="43">
        <f t="shared" si="33"/>
        <v>0</v>
      </c>
      <c r="U254" s="43">
        <f t="shared" si="33"/>
        <v>0</v>
      </c>
      <c r="V254" s="43">
        <f t="shared" si="33"/>
        <v>0</v>
      </c>
      <c r="W254" s="43">
        <f t="shared" si="33"/>
        <v>0</v>
      </c>
      <c r="X254" s="43">
        <f t="shared" si="33"/>
        <v>0</v>
      </c>
      <c r="Y254" s="43">
        <f t="shared" si="33"/>
        <v>0</v>
      </c>
      <c r="Z254" s="43">
        <f t="shared" si="33"/>
        <v>0</v>
      </c>
      <c r="AA254" s="43">
        <f t="shared" si="33"/>
        <v>0</v>
      </c>
      <c r="AB254" s="43">
        <f t="shared" si="33"/>
        <v>0</v>
      </c>
      <c r="AC254" s="43">
        <f t="shared" si="33"/>
        <v>0</v>
      </c>
      <c r="AD254" s="43">
        <f t="shared" si="33"/>
        <v>0</v>
      </c>
      <c r="AE254" s="43">
        <f t="shared" si="33"/>
        <v>0</v>
      </c>
      <c r="AF254" s="43">
        <f t="shared" si="33"/>
        <v>0</v>
      </c>
      <c r="AG254" s="43">
        <f t="shared" si="33"/>
        <v>0</v>
      </c>
      <c r="AH254" s="43">
        <f t="shared" si="33"/>
        <v>0</v>
      </c>
      <c r="AI254" s="43">
        <f t="shared" si="33"/>
        <v>0</v>
      </c>
      <c r="AJ254" s="43">
        <f t="shared" si="33"/>
        <v>0</v>
      </c>
      <c r="AK254" s="43">
        <f t="shared" si="33"/>
        <v>0</v>
      </c>
      <c r="AL254" s="43">
        <f t="shared" si="33"/>
        <v>0</v>
      </c>
      <c r="AM254" s="43">
        <f t="shared" si="33"/>
        <v>0</v>
      </c>
    </row>
    <row r="255" spans="2:39" x14ac:dyDescent="0.2"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</row>
  </sheetData>
  <mergeCells count="27">
    <mergeCell ref="B12:C12"/>
    <mergeCell ref="B2:C2"/>
    <mergeCell ref="D2:E2"/>
    <mergeCell ref="B4:E4"/>
    <mergeCell ref="B9:C9"/>
    <mergeCell ref="B10:C10"/>
    <mergeCell ref="C32:D32"/>
    <mergeCell ref="B16:C16"/>
    <mergeCell ref="B17:C17"/>
    <mergeCell ref="B19:C19"/>
    <mergeCell ref="B21:E21"/>
    <mergeCell ref="B23:D23"/>
    <mergeCell ref="B25:E25"/>
    <mergeCell ref="C27:D27"/>
    <mergeCell ref="C28:D28"/>
    <mergeCell ref="C29:D29"/>
    <mergeCell ref="C30:D30"/>
    <mergeCell ref="C31:D31"/>
    <mergeCell ref="C39:D39"/>
    <mergeCell ref="C40:D40"/>
    <mergeCell ref="C41:D41"/>
    <mergeCell ref="C33:D33"/>
    <mergeCell ref="C34:D34"/>
    <mergeCell ref="C35:D35"/>
    <mergeCell ref="C36:D36"/>
    <mergeCell ref="C37:D37"/>
    <mergeCell ref="C38:D38"/>
  </mergeCells>
  <conditionalFormatting sqref="D73">
    <cfRule type="dataBar" priority="29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{BEF61ABA-CE6C-A844-8E33-07D2ED262D0C}</x14:id>
        </ext>
      </extLst>
    </cfRule>
  </conditionalFormatting>
  <conditionalFormatting sqref="D85">
    <cfRule type="dataBar" priority="28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{12504DDE-33C7-4A47-93C4-AD910D514116}</x14:id>
        </ext>
      </extLst>
    </cfRule>
  </conditionalFormatting>
  <conditionalFormatting sqref="B23:D23">
    <cfRule type="dataBar" priority="27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{C9CA8446-5F2C-F74F-85F0-37717139527A}</x14:id>
        </ext>
      </extLst>
    </cfRule>
  </conditionalFormatting>
  <conditionalFormatting sqref="C27:D27">
    <cfRule type="dataBar" priority="26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{80975680-3453-CE47-AF70-2E2C707E6226}</x14:id>
        </ext>
      </extLst>
    </cfRule>
  </conditionalFormatting>
  <conditionalFormatting sqref="D97">
    <cfRule type="dataBar" priority="25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{86D0C1C7-352D-3947-89E1-A4E852BE9A73}</x14:id>
        </ext>
      </extLst>
    </cfRule>
  </conditionalFormatting>
  <conditionalFormatting sqref="C28:D28">
    <cfRule type="dataBar" priority="24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{486A832F-3186-3E45-81B8-08E19134206F}</x14:id>
        </ext>
      </extLst>
    </cfRule>
  </conditionalFormatting>
  <conditionalFormatting sqref="C29:D29">
    <cfRule type="dataBar" priority="23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{F0B6D513-2979-BD4A-B1CA-E4889E474593}</x14:id>
        </ext>
      </extLst>
    </cfRule>
  </conditionalFormatting>
  <conditionalFormatting sqref="C30:D30">
    <cfRule type="dataBar" priority="22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{0304CF65-EEE4-9E46-826B-53700983ED9F}</x14:id>
        </ext>
      </extLst>
    </cfRule>
  </conditionalFormatting>
  <conditionalFormatting sqref="C31:D31">
    <cfRule type="dataBar" priority="21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{C12955C4-B6F7-9A46-A265-1D39FDFBC3A8}</x14:id>
        </ext>
      </extLst>
    </cfRule>
  </conditionalFormatting>
  <conditionalFormatting sqref="C32:D32">
    <cfRule type="dataBar" priority="20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{21520B41-A375-434E-8D1A-7329CD2E4847}</x14:id>
        </ext>
      </extLst>
    </cfRule>
  </conditionalFormatting>
  <conditionalFormatting sqref="C33:D33">
    <cfRule type="dataBar" priority="19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{4B516267-C323-5A43-AA7E-C58C9EA1E645}</x14:id>
        </ext>
      </extLst>
    </cfRule>
  </conditionalFormatting>
  <conditionalFormatting sqref="C34:D34">
    <cfRule type="dataBar" priority="18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{36BB58F6-026D-9449-A55D-B1F71DEF064D}</x14:id>
        </ext>
      </extLst>
    </cfRule>
  </conditionalFormatting>
  <conditionalFormatting sqref="C35:D35">
    <cfRule type="dataBar" priority="17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{9681F391-040B-C744-8A74-9B07ACF9A06E}</x14:id>
        </ext>
      </extLst>
    </cfRule>
  </conditionalFormatting>
  <conditionalFormatting sqref="C36:D36">
    <cfRule type="dataBar" priority="16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{CB60BBCA-AA81-E14E-A22F-2A0A084EB499}</x14:id>
        </ext>
      </extLst>
    </cfRule>
  </conditionalFormatting>
  <conditionalFormatting sqref="C37:D37">
    <cfRule type="dataBar" priority="15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{A0BCAD13-603C-144C-8A43-D95BAAEE7C10}</x14:id>
        </ext>
      </extLst>
    </cfRule>
  </conditionalFormatting>
  <conditionalFormatting sqref="C38:D41">
    <cfRule type="dataBar" priority="14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{6F1E3BAD-B69E-7E49-9E36-E292782BDBD4}</x14:id>
        </ext>
      </extLst>
    </cfRule>
  </conditionalFormatting>
  <conditionalFormatting sqref="D109">
    <cfRule type="dataBar" priority="13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{BD912534-D8B1-3644-98FB-2DBD49B749A8}</x14:id>
        </ext>
      </extLst>
    </cfRule>
  </conditionalFormatting>
  <conditionalFormatting sqref="D121">
    <cfRule type="dataBar" priority="12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{308B33A3-36B0-3247-B688-FB0819B6F730}</x14:id>
        </ext>
      </extLst>
    </cfRule>
  </conditionalFormatting>
  <conditionalFormatting sqref="D133">
    <cfRule type="dataBar" priority="11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{592DE3A6-15F9-1640-B6E4-867ACD6ABAFC}</x14:id>
        </ext>
      </extLst>
    </cfRule>
  </conditionalFormatting>
  <conditionalFormatting sqref="D145">
    <cfRule type="dataBar" priority="10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{27711366-8052-A84B-A8FD-ED378AF55756}</x14:id>
        </ext>
      </extLst>
    </cfRule>
  </conditionalFormatting>
  <conditionalFormatting sqref="D157">
    <cfRule type="dataBar" priority="9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{731F0FF7-7638-E640-BA39-94D6AD37BBDF}</x14:id>
        </ext>
      </extLst>
    </cfRule>
  </conditionalFormatting>
  <conditionalFormatting sqref="D169">
    <cfRule type="dataBar" priority="8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{514896D1-C3AA-3449-BEA8-734A4C3FA2C9}</x14:id>
        </ext>
      </extLst>
    </cfRule>
  </conditionalFormatting>
  <conditionalFormatting sqref="D181">
    <cfRule type="dataBar" priority="7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{45CCE014-CC00-804F-A578-A642F48153E2}</x14:id>
        </ext>
      </extLst>
    </cfRule>
  </conditionalFormatting>
  <conditionalFormatting sqref="D193">
    <cfRule type="dataBar" priority="6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{4CE5B23C-8D0F-DD48-9577-EAB36AC3D045}</x14:id>
        </ext>
      </extLst>
    </cfRule>
  </conditionalFormatting>
  <conditionalFormatting sqref="D205">
    <cfRule type="dataBar" priority="5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{7516031D-F863-DD45-9039-94A0374F7AA0}</x14:id>
        </ext>
      </extLst>
    </cfRule>
  </conditionalFormatting>
  <conditionalFormatting sqref="D51">
    <cfRule type="dataBar" priority="4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{32F9661C-4D5A-3C4C-9356-B8F051D7DFAD}</x14:id>
        </ext>
      </extLst>
    </cfRule>
  </conditionalFormatting>
  <conditionalFormatting sqref="D217">
    <cfRule type="dataBar" priority="3">
      <dataBar>
        <cfvo type="num" val="0"/>
        <cfvo type="formula" val="$C$217"/>
        <color rgb="FF92D050"/>
      </dataBar>
      <extLst>
        <ext xmlns:x14="http://schemas.microsoft.com/office/spreadsheetml/2009/9/main" uri="{B025F937-C7B1-47D3-B67F-A62EFF666E3E}">
          <x14:id>{41308EEC-126B-1642-A529-6C690F05E686}</x14:id>
        </ext>
      </extLst>
    </cfRule>
  </conditionalFormatting>
  <conditionalFormatting sqref="D229">
    <cfRule type="dataBar" priority="2">
      <dataBar>
        <cfvo type="num" val="0"/>
        <cfvo type="formula" val="$C$229"/>
        <color rgb="FF92D050"/>
      </dataBar>
      <extLst>
        <ext xmlns:x14="http://schemas.microsoft.com/office/spreadsheetml/2009/9/main" uri="{B025F937-C7B1-47D3-B67F-A62EFF666E3E}">
          <x14:id>{D8841439-D11C-8948-8B48-462C5DE5C349}</x14:id>
        </ext>
      </extLst>
    </cfRule>
  </conditionalFormatting>
  <conditionalFormatting sqref="D241">
    <cfRule type="dataBar" priority="1">
      <dataBar>
        <cfvo type="num" val="0"/>
        <cfvo type="formula" val="$C$241"/>
        <color rgb="FF92D050"/>
      </dataBar>
      <extLst>
        <ext xmlns:x14="http://schemas.microsoft.com/office/spreadsheetml/2009/9/main" uri="{B025F937-C7B1-47D3-B67F-A62EFF666E3E}">
          <x14:id>{24A06F1F-A23D-AB41-8737-FC942D48D52F}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F61ABA-CE6C-A844-8E33-07D2ED262D0C}">
            <x14:dataBar minLength="0" maxLength="100" gradient="0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12504DDE-33C7-4A47-93C4-AD910D514116}">
            <x14:dataBar minLength="0" maxLength="100" gradient="0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C9CA8446-5F2C-F74F-85F0-37717139527A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80975680-3453-CE47-AF70-2E2C707E6226}">
            <x14:dataBar minLength="0" maxLength="100" gradient="0" direction="leftToRight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86D0C1C7-352D-3947-89E1-A4E852BE9A73}">
            <x14:dataBar minLength="0" maxLength="100" gradient="0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486A832F-3186-3E45-81B8-08E19134206F}">
            <x14:dataBar minLength="0" maxLength="100" gradient="0" direction="leftToRight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F0B6D513-2979-BD4A-B1CA-E4889E474593}">
            <x14:dataBar minLength="0" maxLength="100" gradient="0" direction="leftToRight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0304CF65-EEE4-9E46-826B-53700983ED9F}">
            <x14:dataBar minLength="0" maxLength="100" gradient="0" direction="leftToRight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C12955C4-B6F7-9A46-A265-1D39FDFBC3A8}">
            <x14:dataBar minLength="0" maxLength="100" gradient="0" direction="leftToRight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21520B41-A375-434E-8D1A-7329CD2E4847}">
            <x14:dataBar minLength="0" maxLength="100" gradient="0" direction="leftToRight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4B516267-C323-5A43-AA7E-C58C9EA1E645}">
            <x14:dataBar minLength="0" maxLength="100" gradient="0" direction="leftToRight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36BB58F6-026D-9449-A55D-B1F71DEF064D}">
            <x14:dataBar minLength="0" maxLength="100" gradient="0" direction="leftToRight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9681F391-040B-C744-8A74-9B07ACF9A06E}">
            <x14:dataBar minLength="0" maxLength="100" gradient="0" direction="leftToRight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CB60BBCA-AA81-E14E-A22F-2A0A084EB499}">
            <x14:dataBar minLength="0" maxLength="100" gradient="0" direction="leftToRight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A0BCAD13-603C-144C-8A43-D95BAAEE7C10}">
            <x14:dataBar minLength="0" maxLength="100" gradient="0" direction="leftToRight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6F1E3BAD-B69E-7E49-9E36-E292782BDBD4}">
            <x14:dataBar minLength="0" maxLength="100" gradient="0" direction="leftToRight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C38:D41</xm:sqref>
        </x14:conditionalFormatting>
        <x14:conditionalFormatting xmlns:xm="http://schemas.microsoft.com/office/excel/2006/main">
          <x14:cfRule type="dataBar" id="{BD912534-D8B1-3644-98FB-2DBD49B749A8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D109</xm:sqref>
        </x14:conditionalFormatting>
        <x14:conditionalFormatting xmlns:xm="http://schemas.microsoft.com/office/excel/2006/main">
          <x14:cfRule type="dataBar" id="{308B33A3-36B0-3247-B688-FB0819B6F730}">
            <x14:dataBar minLength="0" maxLength="100" gradient="0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D121</xm:sqref>
        </x14:conditionalFormatting>
        <x14:conditionalFormatting xmlns:xm="http://schemas.microsoft.com/office/excel/2006/main">
          <x14:cfRule type="dataBar" id="{592DE3A6-15F9-1640-B6E4-867ACD6ABAFC}">
            <x14:dataBar minLength="0" maxLength="100" gradient="0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27711366-8052-A84B-A8FD-ED378AF55756}">
            <x14:dataBar minLength="0" maxLength="100" gradient="0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731F0FF7-7638-E640-BA39-94D6AD37BBDF}">
            <x14:dataBar minLength="0" maxLength="100" gradient="0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514896D1-C3AA-3449-BEA8-734A4C3FA2C9}">
            <x14:dataBar minLength="0" maxLength="100" gradient="0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45CCE014-CC00-804F-A578-A642F48153E2}">
            <x14:dataBar minLength="0" maxLength="100" gradient="0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4CE5B23C-8D0F-DD48-9577-EAB36AC3D045}">
            <x14:dataBar minLength="0" maxLength="100" gradient="0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D193</xm:sqref>
        </x14:conditionalFormatting>
        <x14:conditionalFormatting xmlns:xm="http://schemas.microsoft.com/office/excel/2006/main">
          <x14:cfRule type="dataBar" id="{7516031D-F863-DD45-9039-94A0374F7AA0}">
            <x14:dataBar minLength="0" maxLength="100" gradient="0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D205</xm:sqref>
        </x14:conditionalFormatting>
        <x14:conditionalFormatting xmlns:xm="http://schemas.microsoft.com/office/excel/2006/main">
          <x14:cfRule type="dataBar" id="{32F9661C-4D5A-3C4C-9356-B8F051D7DFAD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41308EEC-126B-1642-A529-6C690F05E686}">
            <x14:dataBar minLength="0" maxLength="100" gradient="0">
              <x14:cfvo type="num">
                <xm:f>0</xm:f>
              </x14:cfvo>
              <x14:cfvo type="formula">
                <xm:f>$C$217</xm:f>
              </x14:cfvo>
              <x14:negativeFillColor rgb="FFFF0000"/>
              <x14:axisColor rgb="FF000000"/>
            </x14:dataBar>
          </x14:cfRule>
          <xm:sqref>D217</xm:sqref>
        </x14:conditionalFormatting>
        <x14:conditionalFormatting xmlns:xm="http://schemas.microsoft.com/office/excel/2006/main">
          <x14:cfRule type="dataBar" id="{D8841439-D11C-8948-8B48-462C5DE5C349}">
            <x14:dataBar minLength="0" maxLength="100" gradient="0">
              <x14:cfvo type="num">
                <xm:f>0</xm:f>
              </x14:cfvo>
              <x14:cfvo type="formula">
                <xm:f>$C$229</xm:f>
              </x14:cfvo>
              <x14:negativeFillColor rgb="FFFF0000"/>
              <x14:axisColor rgb="FF000000"/>
            </x14:dataBar>
          </x14:cfRule>
          <xm:sqref>D229</xm:sqref>
        </x14:conditionalFormatting>
        <x14:conditionalFormatting xmlns:xm="http://schemas.microsoft.com/office/excel/2006/main">
          <x14:cfRule type="dataBar" id="{24A06F1F-A23D-AB41-8737-FC942D48D52F}">
            <x14:dataBar minLength="0" maxLength="100" gradient="0">
              <x14:cfvo type="num">
                <xm:f>0</xm:f>
              </x14:cfvo>
              <x14:cfvo type="formula">
                <xm:f>$C$241</xm:f>
              </x14:cfvo>
              <x14:negativeFillColor rgb="FFFF0000"/>
              <x14:axisColor rgb="FF000000"/>
            </x14:dataBar>
          </x14:cfRule>
          <xm:sqref>D241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 enableFormatConditionsCalculation="0"/>
  <dimension ref="B2:AO255"/>
  <sheetViews>
    <sheetView showGridLines="0" workbookViewId="0">
      <pane xSplit="8" topLeftCell="I1" activePane="topRight" state="frozen"/>
      <selection activeCell="A12" sqref="A12"/>
      <selection pane="topRight" activeCell="I2" sqref="I2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  <col min="9" max="39" width="11.33203125" customWidth="1"/>
  </cols>
  <sheetData>
    <row r="2" spans="2:7" ht="24" x14ac:dyDescent="0.3">
      <c r="B2" s="66" t="s">
        <v>130</v>
      </c>
      <c r="C2" s="66"/>
      <c r="D2" s="67" t="s">
        <v>163</v>
      </c>
      <c r="E2" s="68"/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69" t="s">
        <v>144</v>
      </c>
      <c r="C4" s="70"/>
      <c r="D4" s="70"/>
      <c r="E4" s="70"/>
    </row>
    <row r="5" spans="2:7" outlineLevel="1" x14ac:dyDescent="0.2">
      <c r="B5" s="41" t="s">
        <v>147</v>
      </c>
      <c r="C5" s="45" t="s">
        <v>148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132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62" t="s">
        <v>127</v>
      </c>
      <c r="C9" s="62"/>
      <c r="D9" s="34">
        <f>C49</f>
        <v>0</v>
      </c>
      <c r="E9" s="18"/>
    </row>
    <row r="10" spans="2:7" x14ac:dyDescent="0.2">
      <c r="B10" s="62" t="s">
        <v>131</v>
      </c>
      <c r="C10" s="62"/>
      <c r="D10" s="34">
        <f>C71</f>
        <v>0</v>
      </c>
      <c r="E10" s="18"/>
    </row>
    <row r="11" spans="2:7" x14ac:dyDescent="0.2">
      <c r="B11" s="48"/>
      <c r="C11" s="48"/>
      <c r="D11" s="31"/>
      <c r="E11" s="18"/>
    </row>
    <row r="12" spans="2:7" ht="30" customHeight="1" x14ac:dyDescent="0.2">
      <c r="B12" s="63" t="s">
        <v>133</v>
      </c>
      <c r="C12" s="63"/>
      <c r="D12" s="36">
        <f>D9-D10</f>
        <v>0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134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62" t="s">
        <v>128</v>
      </c>
      <c r="C16" s="62"/>
      <c r="D16" s="28">
        <f>D49</f>
        <v>0</v>
      </c>
      <c r="E16" s="18"/>
    </row>
    <row r="17" spans="2:5" x14ac:dyDescent="0.2">
      <c r="B17" s="62" t="s">
        <v>135</v>
      </c>
      <c r="C17" s="62"/>
      <c r="D17" s="28">
        <f>D71</f>
        <v>0</v>
      </c>
      <c r="E17" s="18"/>
    </row>
    <row r="18" spans="2:5" x14ac:dyDescent="0.2">
      <c r="B18" s="48"/>
      <c r="C18" s="48"/>
      <c r="D18" s="28"/>
      <c r="E18" s="18"/>
    </row>
    <row r="19" spans="2:5" ht="30" customHeight="1" x14ac:dyDescent="0.2">
      <c r="B19" s="63" t="s">
        <v>136</v>
      </c>
      <c r="C19" s="63"/>
      <c r="D19" s="36">
        <f>D16-D17</f>
        <v>0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64" t="s">
        <v>137</v>
      </c>
      <c r="C21" s="64"/>
      <c r="D21" s="64"/>
      <c r="E21" s="64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60">
        <f>D17</f>
        <v>0</v>
      </c>
      <c r="C23" s="65"/>
      <c r="D23" s="61"/>
      <c r="E23" s="38" t="str">
        <f>IFERROR(D17/D16,"")</f>
        <v/>
      </c>
    </row>
    <row r="24" spans="2:5" ht="18" x14ac:dyDescent="0.2">
      <c r="B24" s="29"/>
      <c r="D24" s="30"/>
      <c r="E24" s="18"/>
    </row>
    <row r="25" spans="2:5" x14ac:dyDescent="0.2">
      <c r="B25" s="64" t="s">
        <v>138</v>
      </c>
      <c r="C25" s="64"/>
      <c r="D25" s="64"/>
      <c r="E25" s="64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B73</f>
        <v>Jedzenie</v>
      </c>
      <c r="C27" s="60">
        <f>D73</f>
        <v>0</v>
      </c>
      <c r="D27" s="72"/>
      <c r="E27" s="38" t="str">
        <f>IFERROR(D73/C73,"")</f>
        <v/>
      </c>
    </row>
    <row r="28" spans="2:5" ht="18" customHeight="1" x14ac:dyDescent="0.2">
      <c r="B28" s="29" t="str">
        <f>B85</f>
        <v>Mieszkanie / dom</v>
      </c>
      <c r="C28" s="60">
        <f>D85</f>
        <v>0</v>
      </c>
      <c r="D28" s="61"/>
      <c r="E28" s="38" t="str">
        <f>IFERROR(D85/C85,"")</f>
        <v/>
      </c>
    </row>
    <row r="29" spans="2:5" ht="18" customHeight="1" x14ac:dyDescent="0.2">
      <c r="B29" s="29" t="str">
        <f>B97</f>
        <v>Transport</v>
      </c>
      <c r="C29" s="60">
        <f>D97</f>
        <v>0</v>
      </c>
      <c r="D29" s="61"/>
      <c r="E29" s="38" t="str">
        <f>IFERROR(D97/C97,"")</f>
        <v/>
      </c>
    </row>
    <row r="30" spans="2:5" ht="18" customHeight="1" x14ac:dyDescent="0.2">
      <c r="B30" s="29" t="str">
        <f>B109</f>
        <v>Telekomunikacja</v>
      </c>
      <c r="C30" s="60">
        <f>D109</f>
        <v>0</v>
      </c>
      <c r="D30" s="61"/>
      <c r="E30" s="38" t="str">
        <f>IFERROR(D109/C109,"")</f>
        <v/>
      </c>
    </row>
    <row r="31" spans="2:5" ht="18" customHeight="1" x14ac:dyDescent="0.2">
      <c r="B31" s="29" t="str">
        <f>B121</f>
        <v>Opieka zdrowotna</v>
      </c>
      <c r="C31" s="60">
        <f>D121</f>
        <v>0</v>
      </c>
      <c r="D31" s="61"/>
      <c r="E31" s="38" t="str">
        <f>IFERROR(D121/C121,"")</f>
        <v/>
      </c>
    </row>
    <row r="32" spans="2:5" ht="18" customHeight="1" x14ac:dyDescent="0.2">
      <c r="B32" s="29" t="str">
        <f>B133</f>
        <v>Ubranie</v>
      </c>
      <c r="C32" s="60">
        <f>D133</f>
        <v>0</v>
      </c>
      <c r="D32" s="61"/>
      <c r="E32" s="38" t="str">
        <f>IFERROR(D133/C133,"")</f>
        <v/>
      </c>
    </row>
    <row r="33" spans="2:9" ht="18" customHeight="1" x14ac:dyDescent="0.2">
      <c r="B33" s="29" t="str">
        <f>B145</f>
        <v>Higiena</v>
      </c>
      <c r="C33" s="60">
        <f>D145</f>
        <v>0</v>
      </c>
      <c r="D33" s="61"/>
      <c r="E33" s="38" t="str">
        <f>IFERROR(D145/C145,"")</f>
        <v/>
      </c>
    </row>
    <row r="34" spans="2:9" ht="18" customHeight="1" x14ac:dyDescent="0.2">
      <c r="B34" s="29" t="str">
        <f>B157</f>
        <v>Dzieci</v>
      </c>
      <c r="C34" s="60">
        <f>D157</f>
        <v>0</v>
      </c>
      <c r="D34" s="61"/>
      <c r="E34" s="38" t="str">
        <f>IFERROR(D157/C157,"")</f>
        <v/>
      </c>
    </row>
    <row r="35" spans="2:9" ht="18" customHeight="1" x14ac:dyDescent="0.2">
      <c r="B35" s="29" t="str">
        <f>B169</f>
        <v>Rozrywka</v>
      </c>
      <c r="C35" s="60">
        <f>D169</f>
        <v>0</v>
      </c>
      <c r="D35" s="61"/>
      <c r="E35" s="38" t="str">
        <f>IFERROR(D169/C169,"")</f>
        <v/>
      </c>
    </row>
    <row r="36" spans="2:9" ht="18" customHeight="1" x14ac:dyDescent="0.2">
      <c r="B36" s="29" t="str">
        <f>B181</f>
        <v>Inne wydatki</v>
      </c>
      <c r="C36" s="60">
        <f>D181</f>
        <v>0</v>
      </c>
      <c r="D36" s="61"/>
      <c r="E36" s="38" t="str">
        <f>IFERROR(D181/C181,"")</f>
        <v/>
      </c>
    </row>
    <row r="37" spans="2:9" ht="18" customHeight="1" x14ac:dyDescent="0.2">
      <c r="B37" s="29" t="str">
        <f>B193</f>
        <v>Spłata długów</v>
      </c>
      <c r="C37" s="60">
        <f>D193</f>
        <v>0</v>
      </c>
      <c r="D37" s="61"/>
      <c r="E37" s="38" t="str">
        <f>IFERROR(D193/C193,"")</f>
        <v/>
      </c>
    </row>
    <row r="38" spans="2:9" ht="18" customHeight="1" x14ac:dyDescent="0.2">
      <c r="B38" s="29" t="str">
        <f>B205</f>
        <v>Budowanie oszczędności</v>
      </c>
      <c r="C38" s="60">
        <f>D205</f>
        <v>0</v>
      </c>
      <c r="D38" s="61"/>
      <c r="E38" s="38" t="str">
        <f>IFERROR(D205/C205,"")</f>
        <v/>
      </c>
    </row>
    <row r="39" spans="2:9" ht="18" customHeight="1" x14ac:dyDescent="0.2">
      <c r="B39" s="29" t="str">
        <f>B217</f>
        <v>INNE 1</v>
      </c>
      <c r="C39" s="60">
        <f>D217</f>
        <v>0</v>
      </c>
      <c r="D39" s="61"/>
      <c r="E39" s="38" t="str">
        <f>IFERROR(D217/C217,"")</f>
        <v/>
      </c>
    </row>
    <row r="40" spans="2:9" ht="18" customHeight="1" x14ac:dyDescent="0.2">
      <c r="B40" s="29" t="str">
        <f>B229</f>
        <v>INNE 2</v>
      </c>
      <c r="C40" s="60">
        <f>D229</f>
        <v>0</v>
      </c>
      <c r="D40" s="72"/>
      <c r="E40" s="38" t="str">
        <f>IFERROR(D229/C229,"")</f>
        <v/>
      </c>
    </row>
    <row r="41" spans="2:9" ht="18" customHeight="1" x14ac:dyDescent="0.2">
      <c r="B41" s="29" t="str">
        <f>B241</f>
        <v>INNE 3</v>
      </c>
      <c r="C41" s="60">
        <f>D241</f>
        <v>0</v>
      </c>
      <c r="D41" s="72"/>
      <c r="E41" s="38" t="str">
        <f>IFERROR(D241/C241,"")</f>
        <v/>
      </c>
    </row>
    <row r="42" spans="2:9" ht="18" x14ac:dyDescent="0.2">
      <c r="B42" s="29"/>
      <c r="D42" s="30"/>
      <c r="E42" s="18"/>
    </row>
    <row r="43" spans="2:9" x14ac:dyDescent="0.2">
      <c r="B43" s="18"/>
      <c r="C43" s="18"/>
      <c r="D43" s="18"/>
      <c r="E43" s="18"/>
    </row>
    <row r="44" spans="2:9" ht="22" thickBot="1" x14ac:dyDescent="0.3">
      <c r="B44" s="32" t="s">
        <v>42</v>
      </c>
      <c r="C44" s="33"/>
      <c r="D44" s="33"/>
      <c r="E44" s="33"/>
      <c r="F44" s="33"/>
      <c r="G44" s="33"/>
    </row>
    <row r="46" spans="2:9" ht="21" x14ac:dyDescent="0.25">
      <c r="B46" s="44" t="s">
        <v>26</v>
      </c>
      <c r="I46" s="7" t="s">
        <v>43</v>
      </c>
    </row>
    <row r="47" spans="2:9" x14ac:dyDescent="0.2">
      <c r="B47" s="1"/>
    </row>
    <row r="48" spans="2:9" ht="30" x14ac:dyDescent="0.2">
      <c r="B48" s="8" t="s">
        <v>0</v>
      </c>
      <c r="C48" s="9" t="s">
        <v>127</v>
      </c>
      <c r="D48" s="10" t="s">
        <v>128</v>
      </c>
      <c r="E48" s="8" t="s">
        <v>129</v>
      </c>
      <c r="F48" s="9" t="s">
        <v>140</v>
      </c>
      <c r="G48" s="8" t="s">
        <v>41</v>
      </c>
      <c r="I48" s="41" t="s">
        <v>159</v>
      </c>
    </row>
    <row r="49" spans="2:39" ht="26" customHeight="1" x14ac:dyDescent="0.2">
      <c r="B49" s="39" t="s">
        <v>139</v>
      </c>
      <c r="C49" s="40">
        <f>C51</f>
        <v>0</v>
      </c>
      <c r="D49" s="40">
        <f>D51</f>
        <v>0</v>
      </c>
      <c r="E49" s="40">
        <f>D49-C49</f>
        <v>0</v>
      </c>
      <c r="F49" s="8" t="s">
        <v>141</v>
      </c>
      <c r="G49" s="8"/>
      <c r="I49" s="43">
        <f>SUM(I52:I67)</f>
        <v>0</v>
      </c>
      <c r="J49" s="43">
        <f>SUM(J52:J67)</f>
        <v>0</v>
      </c>
      <c r="K49" s="43">
        <f t="shared" ref="K49:AM49" si="0">SUM(K52:K67)</f>
        <v>0</v>
      </c>
      <c r="L49" s="43">
        <f t="shared" si="0"/>
        <v>0</v>
      </c>
      <c r="M49" s="43">
        <f t="shared" si="0"/>
        <v>0</v>
      </c>
      <c r="N49" s="43">
        <f t="shared" si="0"/>
        <v>0</v>
      </c>
      <c r="O49" s="43">
        <f t="shared" si="0"/>
        <v>0</v>
      </c>
      <c r="P49" s="43">
        <f t="shared" si="0"/>
        <v>0</v>
      </c>
      <c r="Q49" s="43">
        <f t="shared" si="0"/>
        <v>0</v>
      </c>
      <c r="R49" s="43">
        <f t="shared" si="0"/>
        <v>0</v>
      </c>
      <c r="S49" s="43">
        <f t="shared" si="0"/>
        <v>0</v>
      </c>
      <c r="T49" s="43">
        <f t="shared" si="0"/>
        <v>0</v>
      </c>
      <c r="U49" s="43">
        <f t="shared" si="0"/>
        <v>0</v>
      </c>
      <c r="V49" s="43">
        <f t="shared" si="0"/>
        <v>0</v>
      </c>
      <c r="W49" s="43">
        <f t="shared" si="0"/>
        <v>0</v>
      </c>
      <c r="X49" s="43">
        <f t="shared" si="0"/>
        <v>0</v>
      </c>
      <c r="Y49" s="43">
        <f t="shared" si="0"/>
        <v>0</v>
      </c>
      <c r="Z49" s="43">
        <f t="shared" si="0"/>
        <v>0</v>
      </c>
      <c r="AA49" s="43">
        <f t="shared" si="0"/>
        <v>0</v>
      </c>
      <c r="AB49" s="43">
        <f t="shared" si="0"/>
        <v>0</v>
      </c>
      <c r="AC49" s="43">
        <f t="shared" si="0"/>
        <v>0</v>
      </c>
      <c r="AD49" s="43">
        <f t="shared" si="0"/>
        <v>0</v>
      </c>
      <c r="AE49" s="43">
        <f t="shared" si="0"/>
        <v>0</v>
      </c>
      <c r="AF49" s="43">
        <f t="shared" si="0"/>
        <v>0</v>
      </c>
      <c r="AG49" s="43">
        <f t="shared" si="0"/>
        <v>0</v>
      </c>
      <c r="AH49" s="43">
        <f t="shared" si="0"/>
        <v>0</v>
      </c>
      <c r="AI49" s="43">
        <f t="shared" si="0"/>
        <v>0</v>
      </c>
      <c r="AJ49" s="43">
        <f t="shared" si="0"/>
        <v>0</v>
      </c>
      <c r="AK49" s="43">
        <f t="shared" si="0"/>
        <v>0</v>
      </c>
      <c r="AL49" s="43">
        <f t="shared" si="0"/>
        <v>0</v>
      </c>
      <c r="AM49" s="43">
        <f t="shared" si="0"/>
        <v>0</v>
      </c>
    </row>
    <row r="50" spans="2:39" x14ac:dyDescent="0.2">
      <c r="B50" s="1"/>
    </row>
    <row r="51" spans="2:39" x14ac:dyDescent="0.2">
      <c r="B51" s="14" t="str">
        <f>'Wzorzec kategorii'!B14</f>
        <v>Całkowite przychody</v>
      </c>
      <c r="C51" s="15">
        <f>SUM(Tabela718163[[#All],[Kolumna2]])</f>
        <v>0</v>
      </c>
      <c r="D51" s="16">
        <f>SUM(Tabela718163[[#All],[Kolumna3]])</f>
        <v>0</v>
      </c>
      <c r="E51" s="15">
        <f>D51-C51</f>
        <v>0</v>
      </c>
      <c r="F51" s="17" t="str">
        <f>IFERROR(D51/C51,"")</f>
        <v/>
      </c>
      <c r="G51" s="15"/>
      <c r="I51" s="11" t="s">
        <v>44</v>
      </c>
      <c r="J51" s="11" t="s">
        <v>45</v>
      </c>
      <c r="K51" s="11" t="s">
        <v>46</v>
      </c>
      <c r="L51" s="11" t="s">
        <v>47</v>
      </c>
      <c r="M51" s="11" t="s">
        <v>48</v>
      </c>
      <c r="N51" s="11" t="s">
        <v>49</v>
      </c>
      <c r="O51" s="11" t="s">
        <v>50</v>
      </c>
      <c r="P51" s="11" t="s">
        <v>51</v>
      </c>
      <c r="Q51" s="11" t="s">
        <v>52</v>
      </c>
      <c r="R51" s="11" t="s">
        <v>53</v>
      </c>
      <c r="S51" s="11" t="s">
        <v>54</v>
      </c>
      <c r="T51" s="11" t="s">
        <v>55</v>
      </c>
      <c r="U51" s="11" t="s">
        <v>56</v>
      </c>
      <c r="V51" s="11" t="s">
        <v>57</v>
      </c>
      <c r="W51" s="11" t="s">
        <v>58</v>
      </c>
      <c r="X51" s="11" t="s">
        <v>59</v>
      </c>
      <c r="Y51" s="11" t="s">
        <v>60</v>
      </c>
      <c r="Z51" s="11" t="s">
        <v>61</v>
      </c>
      <c r="AA51" s="11" t="s">
        <v>62</v>
      </c>
      <c r="AB51" s="11" t="s">
        <v>63</v>
      </c>
      <c r="AC51" s="11" t="s">
        <v>64</v>
      </c>
      <c r="AD51" s="11" t="s">
        <v>65</v>
      </c>
      <c r="AE51" s="11" t="s">
        <v>66</v>
      </c>
      <c r="AF51" s="11" t="s">
        <v>67</v>
      </c>
      <c r="AG51" s="11" t="s">
        <v>68</v>
      </c>
      <c r="AH51" s="11" t="s">
        <v>69</v>
      </c>
      <c r="AI51" s="11" t="s">
        <v>70</v>
      </c>
      <c r="AJ51" s="11" t="s">
        <v>71</v>
      </c>
      <c r="AK51" s="11" t="s">
        <v>72</v>
      </c>
      <c r="AL51" s="11" t="s">
        <v>73</v>
      </c>
      <c r="AM51" s="11" t="s">
        <v>74</v>
      </c>
    </row>
    <row r="52" spans="2:39" x14ac:dyDescent="0.2">
      <c r="B52" s="22" t="str">
        <f>'Wzorzec kategorii'!B15</f>
        <v>Wynagrodzenie</v>
      </c>
      <c r="C52" s="19">
        <v>0</v>
      </c>
      <c r="D52" s="47">
        <f>SUM(Tabela33064192[#This Row])</f>
        <v>0</v>
      </c>
      <c r="E52" s="20">
        <f>Tabela718163[[#This Row],[Kolumna3]]-Tabela718163[[#This Row],[Kolumna2]]</f>
        <v>0</v>
      </c>
      <c r="F52" s="21" t="str">
        <f t="shared" ref="F52:F66" si="1">IFERROR(D52/C52,"")</f>
        <v/>
      </c>
      <c r="G52" s="2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ht="30" x14ac:dyDescent="0.2">
      <c r="B53" s="22" t="str">
        <f>'Wzorzec kategorii'!B16</f>
        <v>Wynagrodzenie Partnera / Partnerki</v>
      </c>
      <c r="C53" s="19">
        <v>0</v>
      </c>
      <c r="D53" s="47">
        <f>SUM(Tabela33064192[#This Row])</f>
        <v>0</v>
      </c>
      <c r="E53" s="20">
        <f>Tabela718163[[#This Row],[Kolumna3]]-Tabela718163[[#This Row],[Kolumna2]]</f>
        <v>0</v>
      </c>
      <c r="F53" s="21" t="str">
        <f t="shared" si="1"/>
        <v/>
      </c>
      <c r="G53" s="2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x14ac:dyDescent="0.2">
      <c r="B54" s="22" t="str">
        <f>'Wzorzec kategorii'!B17</f>
        <v>Premia</v>
      </c>
      <c r="C54" s="19">
        <v>0</v>
      </c>
      <c r="D54" s="47">
        <f>SUM(Tabela33064192[#This Row])</f>
        <v>0</v>
      </c>
      <c r="E54" s="20">
        <f>Tabela718163[[#This Row],[Kolumna3]]-Tabela718163[[#This Row],[Kolumna2]]</f>
        <v>0</v>
      </c>
      <c r="F54" s="21" t="str">
        <f t="shared" si="1"/>
        <v/>
      </c>
      <c r="G54" s="2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x14ac:dyDescent="0.2">
      <c r="B55" s="22" t="str">
        <f>'Wzorzec kategorii'!B18</f>
        <v>Przychody z premii bankowych</v>
      </c>
      <c r="C55" s="19">
        <v>0</v>
      </c>
      <c r="D55" s="47">
        <f>SUM(Tabela33064192[#This Row])</f>
        <v>0</v>
      </c>
      <c r="E55" s="20">
        <f>Tabela718163[[#This Row],[Kolumna3]]-Tabela718163[[#This Row],[Kolumna2]]</f>
        <v>0</v>
      </c>
      <c r="F55" s="21" t="str">
        <f t="shared" si="1"/>
        <v/>
      </c>
      <c r="G55" s="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x14ac:dyDescent="0.2">
      <c r="B56" s="22" t="str">
        <f>'Wzorzec kategorii'!B19</f>
        <v>Odsetki bankowe</v>
      </c>
      <c r="C56" s="19">
        <v>0</v>
      </c>
      <c r="D56" s="47">
        <f>SUM(Tabela33064192[#This Row])</f>
        <v>0</v>
      </c>
      <c r="E56" s="20">
        <f>Tabela718163[[#This Row],[Kolumna3]]-Tabela718163[[#This Row],[Kolumna2]]</f>
        <v>0</v>
      </c>
      <c r="F56" s="21" t="str">
        <f t="shared" si="1"/>
        <v/>
      </c>
      <c r="G56" s="2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2:39" x14ac:dyDescent="0.2">
      <c r="B57" s="22" t="str">
        <f>'Wzorzec kategorii'!B20</f>
        <v>Sprzedaż na Allegro itp.</v>
      </c>
      <c r="C57" s="19">
        <v>0</v>
      </c>
      <c r="D57" s="47">
        <f>SUM(Tabela33064192[#This Row])</f>
        <v>0</v>
      </c>
      <c r="E57" s="20">
        <f>Tabela718163[[#This Row],[Kolumna3]]-Tabela718163[[#This Row],[Kolumna2]]</f>
        <v>0</v>
      </c>
      <c r="F57" s="21" t="str">
        <f t="shared" si="1"/>
        <v/>
      </c>
      <c r="G57" s="2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9" x14ac:dyDescent="0.2">
      <c r="B58" s="22" t="str">
        <f>'Wzorzec kategorii'!B21</f>
        <v>Inne przychody</v>
      </c>
      <c r="C58" s="19">
        <v>0</v>
      </c>
      <c r="D58" s="47">
        <f>SUM(Tabela33064192[#This Row])</f>
        <v>0</v>
      </c>
      <c r="E58" s="20">
        <f>Tabela718163[[#This Row],[Kolumna3]]-Tabela718163[[#This Row],[Kolumna2]]</f>
        <v>0</v>
      </c>
      <c r="F58" s="21" t="str">
        <f t="shared" si="1"/>
        <v/>
      </c>
      <c r="G58" s="2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2:39" x14ac:dyDescent="0.2">
      <c r="B59" s="22" t="str">
        <f>'Wzorzec kategorii'!B22</f>
        <v>.</v>
      </c>
      <c r="C59" s="19">
        <v>0</v>
      </c>
      <c r="D59" s="47">
        <f>SUM(Tabela33064192[#This Row])</f>
        <v>0</v>
      </c>
      <c r="E59" s="20">
        <f>Tabela718163[[#This Row],[Kolumna3]]-Tabela718163[[#This Row],[Kolumna2]]</f>
        <v>0</v>
      </c>
      <c r="F59" s="53" t="str">
        <f t="shared" si="1"/>
        <v/>
      </c>
      <c r="G59" s="2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2:39" x14ac:dyDescent="0.2">
      <c r="B60" s="22" t="str">
        <f>'Wzorzec kategorii'!B23</f>
        <v>.</v>
      </c>
      <c r="C60" s="19">
        <v>0</v>
      </c>
      <c r="D60" s="47">
        <f>SUM(Tabela33064192[#This Row])</f>
        <v>0</v>
      </c>
      <c r="E60" s="20">
        <f>Tabela718163[[#This Row],[Kolumna3]]-Tabela718163[[#This Row],[Kolumna2]]</f>
        <v>0</v>
      </c>
      <c r="F60" s="53" t="str">
        <f t="shared" si="1"/>
        <v/>
      </c>
      <c r="G60" s="2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2:39" x14ac:dyDescent="0.2">
      <c r="B61" s="22" t="str">
        <f>'Wzorzec kategorii'!B24</f>
        <v>.</v>
      </c>
      <c r="C61" s="19">
        <v>0</v>
      </c>
      <c r="D61" s="47">
        <f>SUM(Tabela33064192[#This Row])</f>
        <v>0</v>
      </c>
      <c r="E61" s="20">
        <f>Tabela718163[[#This Row],[Kolumna3]]-Tabela718163[[#This Row],[Kolumna2]]</f>
        <v>0</v>
      </c>
      <c r="F61" s="53" t="str">
        <f t="shared" si="1"/>
        <v/>
      </c>
      <c r="G61" s="2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2:39" x14ac:dyDescent="0.2">
      <c r="B62" s="22" t="str">
        <f>'Wzorzec kategorii'!B25</f>
        <v>.</v>
      </c>
      <c r="C62" s="19">
        <v>0</v>
      </c>
      <c r="D62" s="47">
        <f>SUM(Tabela33064192[#This Row])</f>
        <v>0</v>
      </c>
      <c r="E62" s="20">
        <f>Tabela718163[[#This Row],[Kolumna3]]-Tabela718163[[#This Row],[Kolumna2]]</f>
        <v>0</v>
      </c>
      <c r="F62" s="53" t="str">
        <f t="shared" si="1"/>
        <v/>
      </c>
      <c r="G62" s="2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:39" x14ac:dyDescent="0.2">
      <c r="B63" s="22" t="str">
        <f>'Wzorzec kategorii'!B26</f>
        <v>.</v>
      </c>
      <c r="C63" s="19">
        <v>0</v>
      </c>
      <c r="D63" s="47">
        <f>SUM(Tabela33064192[#This Row])</f>
        <v>0</v>
      </c>
      <c r="E63" s="20">
        <f>Tabela718163[[#This Row],[Kolumna3]]-Tabela718163[[#This Row],[Kolumna2]]</f>
        <v>0</v>
      </c>
      <c r="F63" s="53" t="str">
        <f t="shared" si="1"/>
        <v/>
      </c>
      <c r="G63" s="2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x14ac:dyDescent="0.2">
      <c r="B64" s="22" t="str">
        <f>'Wzorzec kategorii'!B27</f>
        <v>.</v>
      </c>
      <c r="C64" s="19">
        <v>0</v>
      </c>
      <c r="D64" s="47">
        <f>SUM(Tabela33064192[#This Row])</f>
        <v>0</v>
      </c>
      <c r="E64" s="20">
        <f>Tabela718163[[#This Row],[Kolumna3]]-Tabela718163[[#This Row],[Kolumna2]]</f>
        <v>0</v>
      </c>
      <c r="F64" s="53" t="str">
        <f t="shared" si="1"/>
        <v/>
      </c>
      <c r="G64" s="2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:39" x14ac:dyDescent="0.2">
      <c r="B65" s="22" t="str">
        <f>'Wzorzec kategorii'!B28</f>
        <v>.</v>
      </c>
      <c r="C65" s="19">
        <v>0</v>
      </c>
      <c r="D65" s="47">
        <f>SUM(Tabela33064192[#This Row])</f>
        <v>0</v>
      </c>
      <c r="E65" s="20">
        <f>Tabela718163[[#This Row],[Kolumna3]]-Tabela718163[[#This Row],[Kolumna2]]</f>
        <v>0</v>
      </c>
      <c r="F65" s="53" t="str">
        <f t="shared" si="1"/>
        <v/>
      </c>
      <c r="G65" s="2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39" x14ac:dyDescent="0.2">
      <c r="B66" s="22" t="str">
        <f>'Wzorzec kategorii'!B29</f>
        <v>.</v>
      </c>
      <c r="C66" s="19">
        <v>0</v>
      </c>
      <c r="D66" s="47">
        <f>SUM(Tabela33064192[#This Row])</f>
        <v>0</v>
      </c>
      <c r="E66" s="20">
        <f>Tabela718163[[#This Row],[Kolumna3]]-Tabela718163[[#This Row],[Kolumna2]]</f>
        <v>0</v>
      </c>
      <c r="F66" s="53" t="str">
        <f t="shared" si="1"/>
        <v/>
      </c>
      <c r="G66" s="2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:39" x14ac:dyDescent="0.2">
      <c r="B67" s="5" t="s">
        <v>30</v>
      </c>
    </row>
    <row r="68" spans="2:39" ht="21" x14ac:dyDescent="0.25">
      <c r="B68" s="44" t="s">
        <v>25</v>
      </c>
      <c r="I68" s="7" t="s">
        <v>43</v>
      </c>
    </row>
    <row r="70" spans="2:39" ht="30" x14ac:dyDescent="0.2">
      <c r="B70" s="8" t="s">
        <v>0</v>
      </c>
      <c r="C70" s="9" t="s">
        <v>131</v>
      </c>
      <c r="D70" s="10" t="s">
        <v>135</v>
      </c>
      <c r="E70" s="8" t="s">
        <v>129</v>
      </c>
      <c r="F70" s="9" t="s">
        <v>140</v>
      </c>
      <c r="G70" s="8" t="s">
        <v>41</v>
      </c>
      <c r="I70" s="41" t="s">
        <v>142</v>
      </c>
    </row>
    <row r="71" spans="2:39" ht="24" customHeight="1" x14ac:dyDescent="0.2">
      <c r="B71" s="39" t="s">
        <v>139</v>
      </c>
      <c r="C71" s="40">
        <f>C73+C85+C97+C109+C121+C133+C145+C157+C169+C181+C193+C205+C217+C229+C241</f>
        <v>0</v>
      </c>
      <c r="D71" s="40">
        <f>D73+D85+D97+D109+D121+D133+D145+D157+D169+D181+D193+D205+D217+D229+D241</f>
        <v>0</v>
      </c>
      <c r="E71" s="40">
        <f>C71-D71</f>
        <v>0</v>
      </c>
      <c r="F71" s="8" t="s">
        <v>141</v>
      </c>
      <c r="G71" s="8"/>
      <c r="I71" s="43">
        <f>SUM(I73:I251)</f>
        <v>0</v>
      </c>
      <c r="J71" s="43">
        <f>SUM(J73:J251)</f>
        <v>0</v>
      </c>
      <c r="K71" s="43">
        <f t="shared" ref="K71:AM71" si="2">SUM(K73:K251)</f>
        <v>0</v>
      </c>
      <c r="L71" s="43">
        <f t="shared" si="2"/>
        <v>0</v>
      </c>
      <c r="M71" s="43">
        <f t="shared" si="2"/>
        <v>0</v>
      </c>
      <c r="N71" s="43">
        <f t="shared" si="2"/>
        <v>0</v>
      </c>
      <c r="O71" s="43">
        <f t="shared" si="2"/>
        <v>0</v>
      </c>
      <c r="P71" s="43">
        <f t="shared" si="2"/>
        <v>0</v>
      </c>
      <c r="Q71" s="43">
        <f t="shared" si="2"/>
        <v>0</v>
      </c>
      <c r="R71" s="43">
        <f t="shared" si="2"/>
        <v>0</v>
      </c>
      <c r="S71" s="43">
        <f t="shared" si="2"/>
        <v>0</v>
      </c>
      <c r="T71" s="43">
        <f t="shared" si="2"/>
        <v>0</v>
      </c>
      <c r="U71" s="43">
        <f t="shared" si="2"/>
        <v>0</v>
      </c>
      <c r="V71" s="43">
        <f t="shared" si="2"/>
        <v>0</v>
      </c>
      <c r="W71" s="43">
        <f t="shared" si="2"/>
        <v>0</v>
      </c>
      <c r="X71" s="43">
        <f t="shared" si="2"/>
        <v>0</v>
      </c>
      <c r="Y71" s="43">
        <f t="shared" si="2"/>
        <v>0</v>
      </c>
      <c r="Z71" s="43">
        <f t="shared" si="2"/>
        <v>0</v>
      </c>
      <c r="AA71" s="43">
        <f t="shared" si="2"/>
        <v>0</v>
      </c>
      <c r="AB71" s="43">
        <f t="shared" si="2"/>
        <v>0</v>
      </c>
      <c r="AC71" s="43">
        <f t="shared" si="2"/>
        <v>0</v>
      </c>
      <c r="AD71" s="43">
        <f t="shared" si="2"/>
        <v>0</v>
      </c>
      <c r="AE71" s="43">
        <f t="shared" si="2"/>
        <v>0</v>
      </c>
      <c r="AF71" s="43">
        <f t="shared" si="2"/>
        <v>0</v>
      </c>
      <c r="AG71" s="43">
        <f t="shared" si="2"/>
        <v>0</v>
      </c>
      <c r="AH71" s="43">
        <f t="shared" si="2"/>
        <v>0</v>
      </c>
      <c r="AI71" s="43">
        <f t="shared" si="2"/>
        <v>0</v>
      </c>
      <c r="AJ71" s="43">
        <f t="shared" si="2"/>
        <v>0</v>
      </c>
      <c r="AK71" s="43">
        <f t="shared" si="2"/>
        <v>0</v>
      </c>
      <c r="AL71" s="43">
        <f t="shared" si="2"/>
        <v>0</v>
      </c>
      <c r="AM71" s="43">
        <f t="shared" si="2"/>
        <v>0</v>
      </c>
    </row>
    <row r="73" spans="2:39" x14ac:dyDescent="0.2">
      <c r="B73" s="14" t="str">
        <f>'Wzorzec kategorii'!B35</f>
        <v>Jedzenie</v>
      </c>
      <c r="C73" s="15">
        <f>SUM(Jedzenie2161[[#All],[0]])</f>
        <v>0</v>
      </c>
      <c r="D73" s="16">
        <f>SUM(Jedzenie2161[[#All],[02]])</f>
        <v>0</v>
      </c>
      <c r="E73" s="15">
        <f t="shared" ref="E73:E83" si="3">C73-D73</f>
        <v>0</v>
      </c>
      <c r="F73" s="17" t="str">
        <f t="shared" ref="F73:F83" si="4">IFERROR(D73/C73,"")</f>
        <v/>
      </c>
      <c r="G73" s="23"/>
      <c r="I73" s="11" t="s">
        <v>44</v>
      </c>
      <c r="J73" s="11" t="s">
        <v>45</v>
      </c>
      <c r="K73" s="11" t="s">
        <v>46</v>
      </c>
      <c r="L73" s="11" t="s">
        <v>47</v>
      </c>
      <c r="M73" s="11" t="s">
        <v>48</v>
      </c>
      <c r="N73" s="11" t="s">
        <v>49</v>
      </c>
      <c r="O73" s="11" t="s">
        <v>50</v>
      </c>
      <c r="P73" s="11" t="s">
        <v>51</v>
      </c>
      <c r="Q73" s="11" t="s">
        <v>52</v>
      </c>
      <c r="R73" s="11" t="s">
        <v>53</v>
      </c>
      <c r="S73" s="11" t="s">
        <v>54</v>
      </c>
      <c r="T73" s="11" t="s">
        <v>55</v>
      </c>
      <c r="U73" s="11" t="s">
        <v>56</v>
      </c>
      <c r="V73" s="11" t="s">
        <v>57</v>
      </c>
      <c r="W73" s="11" t="s">
        <v>58</v>
      </c>
      <c r="X73" s="11" t="s">
        <v>59</v>
      </c>
      <c r="Y73" s="11" t="s">
        <v>60</v>
      </c>
      <c r="Z73" s="11" t="s">
        <v>61</v>
      </c>
      <c r="AA73" s="11" t="s">
        <v>62</v>
      </c>
      <c r="AB73" s="11" t="s">
        <v>63</v>
      </c>
      <c r="AC73" s="11" t="s">
        <v>64</v>
      </c>
      <c r="AD73" s="11" t="s">
        <v>65</v>
      </c>
      <c r="AE73" s="11" t="s">
        <v>66</v>
      </c>
      <c r="AF73" s="11" t="s">
        <v>67</v>
      </c>
      <c r="AG73" s="11" t="s">
        <v>68</v>
      </c>
      <c r="AH73" s="11" t="s">
        <v>69</v>
      </c>
      <c r="AI73" s="11" t="s">
        <v>70</v>
      </c>
      <c r="AJ73" s="11" t="s">
        <v>71</v>
      </c>
      <c r="AK73" s="11" t="s">
        <v>72</v>
      </c>
      <c r="AL73" s="11" t="s">
        <v>73</v>
      </c>
      <c r="AM73" s="11" t="s">
        <v>74</v>
      </c>
    </row>
    <row r="74" spans="2:39" x14ac:dyDescent="0.2">
      <c r="B74" s="22" t="str">
        <f>'Wzorzec kategorii'!B36</f>
        <v>Jedzenie dom</v>
      </c>
      <c r="C74" s="19">
        <v>0</v>
      </c>
      <c r="D74" s="20">
        <f>SUM(Tabela330164[#This Row])</f>
        <v>0</v>
      </c>
      <c r="E74" s="20">
        <f t="shared" si="3"/>
        <v>0</v>
      </c>
      <c r="F74" s="21" t="str">
        <f t="shared" si="4"/>
        <v/>
      </c>
      <c r="G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2:39" x14ac:dyDescent="0.2">
      <c r="B75" s="22" t="str">
        <f>'Wzorzec kategorii'!B37</f>
        <v>Jedzenie miasto</v>
      </c>
      <c r="C75" s="19">
        <v>0</v>
      </c>
      <c r="D75" s="20">
        <f>SUM(Tabela330164[#This Row])</f>
        <v>0</v>
      </c>
      <c r="E75" s="20">
        <f t="shared" si="3"/>
        <v>0</v>
      </c>
      <c r="F75" s="21" t="str">
        <f t="shared" si="4"/>
        <v/>
      </c>
      <c r="G75" s="2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:39" x14ac:dyDescent="0.2">
      <c r="B76" s="22" t="str">
        <f>'Wzorzec kategorii'!B38</f>
        <v>Jedzenie praca</v>
      </c>
      <c r="C76" s="19">
        <v>0</v>
      </c>
      <c r="D76" s="20">
        <f>SUM(Tabela330164[#This Row])</f>
        <v>0</v>
      </c>
      <c r="E76" s="20">
        <f t="shared" si="3"/>
        <v>0</v>
      </c>
      <c r="F76" s="21" t="str">
        <f t="shared" si="4"/>
        <v/>
      </c>
      <c r="G76" s="2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2:39" x14ac:dyDescent="0.2">
      <c r="B77" s="22" t="str">
        <f>'Wzorzec kategorii'!B39</f>
        <v>Alkohol</v>
      </c>
      <c r="C77" s="19">
        <v>0</v>
      </c>
      <c r="D77" s="20">
        <f>SUM(Tabela330164[#This Row])</f>
        <v>0</v>
      </c>
      <c r="E77" s="20">
        <f t="shared" si="3"/>
        <v>0</v>
      </c>
      <c r="F77" s="21" t="str">
        <f t="shared" si="4"/>
        <v/>
      </c>
      <c r="G77" s="2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2:39" x14ac:dyDescent="0.2">
      <c r="B78" s="22" t="str">
        <f>'Wzorzec kategorii'!B40</f>
        <v>Inne</v>
      </c>
      <c r="C78" s="19">
        <v>0</v>
      </c>
      <c r="D78" s="20">
        <f>SUM(Tabela330164[#This Row])</f>
        <v>0</v>
      </c>
      <c r="E78" s="20">
        <f t="shared" si="3"/>
        <v>0</v>
      </c>
      <c r="F78" s="21" t="str">
        <f t="shared" si="4"/>
        <v/>
      </c>
      <c r="G78" s="2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:39" x14ac:dyDescent="0.2">
      <c r="B79" s="22" t="str">
        <f>'Wzorzec kategorii'!B41</f>
        <v>.</v>
      </c>
      <c r="C79" s="19">
        <v>0</v>
      </c>
      <c r="D79" s="20">
        <f>SUM(Tabela330164[#This Row])</f>
        <v>0</v>
      </c>
      <c r="E79" s="20">
        <f t="shared" si="3"/>
        <v>0</v>
      </c>
      <c r="F79" s="53" t="str">
        <f t="shared" si="4"/>
        <v/>
      </c>
      <c r="G79" s="5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:39" x14ac:dyDescent="0.2">
      <c r="B80" s="22" t="str">
        <f>'Wzorzec kategorii'!B42</f>
        <v>.</v>
      </c>
      <c r="C80" s="19">
        <v>0</v>
      </c>
      <c r="D80" s="20">
        <f>SUM(Tabela330164[#This Row])</f>
        <v>0</v>
      </c>
      <c r="E80" s="20">
        <f t="shared" si="3"/>
        <v>0</v>
      </c>
      <c r="F80" s="53" t="str">
        <f t="shared" si="4"/>
        <v/>
      </c>
      <c r="G80" s="5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2:41" x14ac:dyDescent="0.2">
      <c r="B81" s="22" t="str">
        <f>'Wzorzec kategorii'!B43</f>
        <v>.</v>
      </c>
      <c r="C81" s="19">
        <v>0</v>
      </c>
      <c r="D81" s="20">
        <f>SUM(Tabela330164[#This Row])</f>
        <v>0</v>
      </c>
      <c r="E81" s="20">
        <f t="shared" si="3"/>
        <v>0</v>
      </c>
      <c r="F81" s="53" t="str">
        <f t="shared" si="4"/>
        <v/>
      </c>
      <c r="G81" s="5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2:41" x14ac:dyDescent="0.2">
      <c r="B82" s="22" t="str">
        <f>'Wzorzec kategorii'!B44</f>
        <v>.</v>
      </c>
      <c r="C82" s="19">
        <v>0</v>
      </c>
      <c r="D82" s="20">
        <f>SUM(Tabela330164[#This Row])</f>
        <v>0</v>
      </c>
      <c r="E82" s="20">
        <f t="shared" si="3"/>
        <v>0</v>
      </c>
      <c r="F82" s="53" t="str">
        <f t="shared" si="4"/>
        <v/>
      </c>
      <c r="G82" s="5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2:41" x14ac:dyDescent="0.2">
      <c r="B83" s="22" t="str">
        <f>'Wzorzec kategorii'!B45</f>
        <v>.</v>
      </c>
      <c r="C83" s="19">
        <v>0</v>
      </c>
      <c r="D83" s="20">
        <f>SUM(Tabela330164[#This Row])</f>
        <v>0</v>
      </c>
      <c r="E83" s="20">
        <f t="shared" si="3"/>
        <v>0</v>
      </c>
      <c r="F83" s="53" t="str">
        <f t="shared" si="4"/>
        <v/>
      </c>
      <c r="G83" s="5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2:41" x14ac:dyDescent="0.2">
      <c r="B84" s="5" t="s">
        <v>30</v>
      </c>
      <c r="C84" s="6"/>
      <c r="D84" s="4"/>
      <c r="E84" s="4"/>
      <c r="F84" s="4"/>
      <c r="G84" s="4"/>
      <c r="I84" s="5" t="s">
        <v>30</v>
      </c>
    </row>
    <row r="85" spans="2:41" x14ac:dyDescent="0.2">
      <c r="B85" s="14" t="str">
        <f>'Wzorzec kategorii'!B47</f>
        <v>Mieszkanie / dom</v>
      </c>
      <c r="C85" s="15">
        <f>SUM(Tabela431165[[#All],[Kolumna2]])</f>
        <v>0</v>
      </c>
      <c r="D85" s="16">
        <f>SUM(Tabela431165[[#All],[Kolumna3]])</f>
        <v>0</v>
      </c>
      <c r="E85" s="15">
        <f>C85-D85</f>
        <v>0</v>
      </c>
      <c r="F85" s="17" t="str">
        <f>IFERROR(D85/C85,"")</f>
        <v/>
      </c>
      <c r="G85" s="23"/>
      <c r="I85" s="11" t="s">
        <v>44</v>
      </c>
      <c r="J85" s="11" t="s">
        <v>45</v>
      </c>
      <c r="K85" s="11" t="s">
        <v>46</v>
      </c>
      <c r="L85" s="11" t="s">
        <v>47</v>
      </c>
      <c r="M85" s="11" t="s">
        <v>48</v>
      </c>
      <c r="N85" s="11" t="s">
        <v>49</v>
      </c>
      <c r="O85" s="11" t="s">
        <v>50</v>
      </c>
      <c r="P85" s="11" t="s">
        <v>51</v>
      </c>
      <c r="Q85" s="11" t="s">
        <v>52</v>
      </c>
      <c r="R85" s="11" t="s">
        <v>53</v>
      </c>
      <c r="S85" s="11" t="s">
        <v>54</v>
      </c>
      <c r="T85" s="11" t="s">
        <v>55</v>
      </c>
      <c r="U85" s="11" t="s">
        <v>56</v>
      </c>
      <c r="V85" s="11" t="s">
        <v>57</v>
      </c>
      <c r="W85" s="11" t="s">
        <v>58</v>
      </c>
      <c r="X85" s="11" t="s">
        <v>59</v>
      </c>
      <c r="Y85" s="11" t="s">
        <v>60</v>
      </c>
      <c r="Z85" s="11" t="s">
        <v>61</v>
      </c>
      <c r="AA85" s="11" t="s">
        <v>62</v>
      </c>
      <c r="AB85" s="11" t="s">
        <v>63</v>
      </c>
      <c r="AC85" s="11" t="s">
        <v>64</v>
      </c>
      <c r="AD85" s="11" t="s">
        <v>65</v>
      </c>
      <c r="AE85" s="11" t="s">
        <v>66</v>
      </c>
      <c r="AF85" s="11" t="s">
        <v>67</v>
      </c>
      <c r="AG85" s="11" t="s">
        <v>68</v>
      </c>
      <c r="AH85" s="11" t="s">
        <v>69</v>
      </c>
      <c r="AI85" s="11" t="s">
        <v>70</v>
      </c>
      <c r="AJ85" s="11" t="s">
        <v>71</v>
      </c>
      <c r="AK85" s="11" t="s">
        <v>72</v>
      </c>
      <c r="AL85" s="11" t="s">
        <v>73</v>
      </c>
      <c r="AM85" s="11" t="s">
        <v>74</v>
      </c>
      <c r="AN85" s="25"/>
      <c r="AO85" s="25"/>
    </row>
    <row r="86" spans="2:41" x14ac:dyDescent="0.2">
      <c r="B86" s="22" t="str">
        <f>'Wzorzec kategorii'!B48</f>
        <v>Czynsz</v>
      </c>
      <c r="C86" s="19">
        <v>0</v>
      </c>
      <c r="D86" s="20">
        <f>SUM(Tabela1841175[#This Row])</f>
        <v>0</v>
      </c>
      <c r="E86" s="20">
        <f t="shared" ref="E86:E95" si="5">C86-D86</f>
        <v>0</v>
      </c>
      <c r="F86" s="21" t="str">
        <f t="shared" ref="F86:F95" si="6">IFERROR(D86/C86,"")</f>
        <v/>
      </c>
      <c r="G86" s="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25"/>
      <c r="AO86" s="25"/>
    </row>
    <row r="87" spans="2:41" x14ac:dyDescent="0.2">
      <c r="B87" s="22" t="str">
        <f>'Wzorzec kategorii'!B49</f>
        <v>Woda i kanalizacja</v>
      </c>
      <c r="C87" s="19">
        <v>0</v>
      </c>
      <c r="D87" s="20">
        <f>SUM(Tabela1841175[#This Row])</f>
        <v>0</v>
      </c>
      <c r="E87" s="20">
        <f t="shared" si="5"/>
        <v>0</v>
      </c>
      <c r="F87" s="21" t="str">
        <f t="shared" si="6"/>
        <v/>
      </c>
      <c r="G87" s="2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25"/>
      <c r="AO87" s="25"/>
    </row>
    <row r="88" spans="2:41" x14ac:dyDescent="0.2">
      <c r="B88" s="22" t="str">
        <f>'Wzorzec kategorii'!B50</f>
        <v>Prąd</v>
      </c>
      <c r="C88" s="19">
        <v>0</v>
      </c>
      <c r="D88" s="20">
        <f>SUM(Tabela1841175[#This Row])</f>
        <v>0</v>
      </c>
      <c r="E88" s="20">
        <f t="shared" si="5"/>
        <v>0</v>
      </c>
      <c r="F88" s="21" t="str">
        <f t="shared" si="6"/>
        <v/>
      </c>
      <c r="G88" s="2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25"/>
      <c r="AO88" s="25"/>
    </row>
    <row r="89" spans="2:41" x14ac:dyDescent="0.2">
      <c r="B89" s="22" t="str">
        <f>'Wzorzec kategorii'!B51</f>
        <v>Gaz</v>
      </c>
      <c r="C89" s="19">
        <v>0</v>
      </c>
      <c r="D89" s="20">
        <f>SUM(Tabela1841175[#This Row])</f>
        <v>0</v>
      </c>
      <c r="E89" s="20">
        <f t="shared" si="5"/>
        <v>0</v>
      </c>
      <c r="F89" s="21" t="str">
        <f t="shared" si="6"/>
        <v/>
      </c>
      <c r="G89" s="2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25"/>
      <c r="AO89" s="25"/>
    </row>
    <row r="90" spans="2:41" x14ac:dyDescent="0.2">
      <c r="B90" s="22" t="str">
        <f>'Wzorzec kategorii'!B52</f>
        <v>Ogrzewanie</v>
      </c>
      <c r="C90" s="19">
        <v>0</v>
      </c>
      <c r="D90" s="20">
        <f>SUM(Tabela1841175[#This Row])</f>
        <v>0</v>
      </c>
      <c r="E90" s="20">
        <f t="shared" si="5"/>
        <v>0</v>
      </c>
      <c r="F90" s="21" t="str">
        <f t="shared" si="6"/>
        <v/>
      </c>
      <c r="G90" s="24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25"/>
      <c r="AO90" s="25"/>
    </row>
    <row r="91" spans="2:41" x14ac:dyDescent="0.2">
      <c r="B91" s="22" t="str">
        <f>'Wzorzec kategorii'!B53</f>
        <v>Wywóz śmieci</v>
      </c>
      <c r="C91" s="19">
        <v>0</v>
      </c>
      <c r="D91" s="20">
        <f>SUM(Tabela1841175[#This Row])</f>
        <v>0</v>
      </c>
      <c r="E91" s="20">
        <f t="shared" si="5"/>
        <v>0</v>
      </c>
      <c r="F91" s="21" t="str">
        <f t="shared" si="6"/>
        <v/>
      </c>
      <c r="G91" s="24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25"/>
      <c r="AO91" s="25"/>
    </row>
    <row r="92" spans="2:41" x14ac:dyDescent="0.2">
      <c r="B92" s="22" t="str">
        <f>'Wzorzec kategorii'!B54</f>
        <v>Konserwacja i naprawy</v>
      </c>
      <c r="C92" s="19">
        <v>0</v>
      </c>
      <c r="D92" s="20">
        <f>SUM(Tabela1841175[#This Row])</f>
        <v>0</v>
      </c>
      <c r="E92" s="20">
        <f t="shared" si="5"/>
        <v>0</v>
      </c>
      <c r="F92" s="21" t="str">
        <f t="shared" si="6"/>
        <v/>
      </c>
      <c r="G92" s="2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25"/>
      <c r="AO92" s="25"/>
    </row>
    <row r="93" spans="2:41" x14ac:dyDescent="0.2">
      <c r="B93" s="22" t="str">
        <f>'Wzorzec kategorii'!B55</f>
        <v>Wyposażenie</v>
      </c>
      <c r="C93" s="19">
        <v>0</v>
      </c>
      <c r="D93" s="20">
        <f>SUM(Tabela1841175[#This Row])</f>
        <v>0</v>
      </c>
      <c r="E93" s="20">
        <f t="shared" si="5"/>
        <v>0</v>
      </c>
      <c r="F93" s="21" t="str">
        <f t="shared" si="6"/>
        <v/>
      </c>
      <c r="G93" s="2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25"/>
      <c r="AO93" s="25"/>
    </row>
    <row r="94" spans="2:41" x14ac:dyDescent="0.2">
      <c r="B94" s="22" t="str">
        <f>'Wzorzec kategorii'!B56</f>
        <v>Ubezpieczenie nieruchomości</v>
      </c>
      <c r="C94" s="19">
        <v>0</v>
      </c>
      <c r="D94" s="20">
        <f>SUM(Tabela1841175[#This Row])</f>
        <v>0</v>
      </c>
      <c r="E94" s="20">
        <f t="shared" si="5"/>
        <v>0</v>
      </c>
      <c r="F94" s="21" t="str">
        <f t="shared" si="6"/>
        <v/>
      </c>
      <c r="G94" s="2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25"/>
      <c r="AO94" s="25"/>
    </row>
    <row r="95" spans="2:41" x14ac:dyDescent="0.2">
      <c r="B95" s="22" t="str">
        <f>'Wzorzec kategorii'!B57</f>
        <v>Inne</v>
      </c>
      <c r="C95" s="19">
        <v>0</v>
      </c>
      <c r="D95" s="20">
        <f>SUM(Tabela1841175[#This Row])</f>
        <v>0</v>
      </c>
      <c r="E95" s="20">
        <f t="shared" si="5"/>
        <v>0</v>
      </c>
      <c r="F95" s="21" t="str">
        <f t="shared" si="6"/>
        <v/>
      </c>
      <c r="G95" s="2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25"/>
      <c r="AO95" s="25"/>
    </row>
    <row r="96" spans="2:41" x14ac:dyDescent="0.2">
      <c r="B96" s="5" t="s">
        <v>30</v>
      </c>
      <c r="C96" s="6"/>
      <c r="D96" s="4"/>
      <c r="E96" s="4"/>
      <c r="F96" s="4"/>
      <c r="G96" s="4"/>
      <c r="I96" s="26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</row>
    <row r="97" spans="2:41" x14ac:dyDescent="0.2">
      <c r="B97" s="2" t="str">
        <f>'Wzorzec kategorii'!B59</f>
        <v>Transport</v>
      </c>
      <c r="C97" s="3">
        <f>SUM(Transport3162[[#All],[Kolumna2]])</f>
        <v>0</v>
      </c>
      <c r="D97" s="16">
        <f>SUM(Transport3162[[#All],[Kolumna3]])</f>
        <v>0</v>
      </c>
      <c r="E97" s="3">
        <f>C97-D97</f>
        <v>0</v>
      </c>
      <c r="F97" s="17" t="str">
        <f>IFERROR(D97/C97,"")</f>
        <v/>
      </c>
      <c r="G97" s="3"/>
      <c r="I97" s="11" t="s">
        <v>44</v>
      </c>
      <c r="J97" s="11" t="s">
        <v>45</v>
      </c>
      <c r="K97" s="11" t="s">
        <v>46</v>
      </c>
      <c r="L97" s="11" t="s">
        <v>47</v>
      </c>
      <c r="M97" s="11" t="s">
        <v>48</v>
      </c>
      <c r="N97" s="11" t="s">
        <v>49</v>
      </c>
      <c r="O97" s="11" t="s">
        <v>50</v>
      </c>
      <c r="P97" s="11" t="s">
        <v>51</v>
      </c>
      <c r="Q97" s="11" t="s">
        <v>52</v>
      </c>
      <c r="R97" s="11" t="s">
        <v>53</v>
      </c>
      <c r="S97" s="11" t="s">
        <v>54</v>
      </c>
      <c r="T97" s="11" t="s">
        <v>55</v>
      </c>
      <c r="U97" s="11" t="s">
        <v>56</v>
      </c>
      <c r="V97" s="11" t="s">
        <v>57</v>
      </c>
      <c r="W97" s="11" t="s">
        <v>58</v>
      </c>
      <c r="X97" s="11" t="s">
        <v>59</v>
      </c>
      <c r="Y97" s="11" t="s">
        <v>60</v>
      </c>
      <c r="Z97" s="11" t="s">
        <v>61</v>
      </c>
      <c r="AA97" s="11" t="s">
        <v>62</v>
      </c>
      <c r="AB97" s="11" t="s">
        <v>63</v>
      </c>
      <c r="AC97" s="11" t="s">
        <v>64</v>
      </c>
      <c r="AD97" s="11" t="s">
        <v>65</v>
      </c>
      <c r="AE97" s="11" t="s">
        <v>66</v>
      </c>
      <c r="AF97" s="11" t="s">
        <v>67</v>
      </c>
      <c r="AG97" s="11" t="s">
        <v>68</v>
      </c>
      <c r="AH97" s="11" t="s">
        <v>69</v>
      </c>
      <c r="AI97" s="11" t="s">
        <v>70</v>
      </c>
      <c r="AJ97" s="11" t="s">
        <v>71</v>
      </c>
      <c r="AK97" s="11" t="s">
        <v>72</v>
      </c>
      <c r="AL97" s="11" t="s">
        <v>73</v>
      </c>
      <c r="AM97" s="11" t="s">
        <v>74</v>
      </c>
      <c r="AN97" s="25"/>
      <c r="AO97" s="25"/>
    </row>
    <row r="98" spans="2:41" x14ac:dyDescent="0.2">
      <c r="B98" s="22" t="str">
        <f>'Wzorzec kategorii'!B60</f>
        <v>Paliwo do auta</v>
      </c>
      <c r="C98" s="19">
        <v>0</v>
      </c>
      <c r="D98" s="20">
        <f>SUM(Tabela1942176[#This Row])</f>
        <v>0</v>
      </c>
      <c r="E98" s="20">
        <f t="shared" ref="E98:E107" si="7">C98-D98</f>
        <v>0</v>
      </c>
      <c r="F98" s="21" t="str">
        <f t="shared" ref="F98:F107" si="8">IFERROR(D98/C98,"")</f>
        <v/>
      </c>
      <c r="G98" s="24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25"/>
      <c r="AO98" s="25"/>
    </row>
    <row r="99" spans="2:41" x14ac:dyDescent="0.2">
      <c r="B99" s="22" t="str">
        <f>'Wzorzec kategorii'!B61</f>
        <v>Przeglądy i naprawy auta</v>
      </c>
      <c r="C99" s="19">
        <v>0</v>
      </c>
      <c r="D99" s="20">
        <f>SUM(Tabela1942176[#This Row])</f>
        <v>0</v>
      </c>
      <c r="E99" s="20">
        <f t="shared" si="7"/>
        <v>0</v>
      </c>
      <c r="F99" s="21" t="str">
        <f t="shared" si="8"/>
        <v/>
      </c>
      <c r="G99" s="2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25"/>
      <c r="AO99" s="25"/>
    </row>
    <row r="100" spans="2:41" ht="30" x14ac:dyDescent="0.2">
      <c r="B100" s="22" t="str">
        <f>'Wzorzec kategorii'!B62</f>
        <v>Wyposażenie dodatkowe (opony)</v>
      </c>
      <c r="C100" s="19">
        <v>0</v>
      </c>
      <c r="D100" s="20">
        <f>SUM(Tabela1942176[#This Row])</f>
        <v>0</v>
      </c>
      <c r="E100" s="20">
        <f t="shared" si="7"/>
        <v>0</v>
      </c>
      <c r="F100" s="21" t="str">
        <f t="shared" si="8"/>
        <v/>
      </c>
      <c r="G100" s="2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25"/>
      <c r="AO100" s="25"/>
    </row>
    <row r="101" spans="2:41" x14ac:dyDescent="0.2">
      <c r="B101" s="22" t="str">
        <f>'Wzorzec kategorii'!B63</f>
        <v>Ubezpieczenie auta</v>
      </c>
      <c r="C101" s="19">
        <v>0</v>
      </c>
      <c r="D101" s="20">
        <f>SUM(Tabela1942176[#This Row])</f>
        <v>0</v>
      </c>
      <c r="E101" s="20">
        <f t="shared" si="7"/>
        <v>0</v>
      </c>
      <c r="F101" s="21" t="str">
        <f t="shared" si="8"/>
        <v/>
      </c>
      <c r="G101" s="2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25"/>
      <c r="AO101" s="25"/>
    </row>
    <row r="102" spans="2:41" x14ac:dyDescent="0.2">
      <c r="B102" s="22" t="str">
        <f>'Wzorzec kategorii'!B64</f>
        <v>Bilet komunikacji miejskiej</v>
      </c>
      <c r="C102" s="19">
        <v>0</v>
      </c>
      <c r="D102" s="20">
        <f>SUM(Tabela1942176[#This Row])</f>
        <v>0</v>
      </c>
      <c r="E102" s="20">
        <f t="shared" si="7"/>
        <v>0</v>
      </c>
      <c r="F102" s="21" t="str">
        <f t="shared" si="8"/>
        <v/>
      </c>
      <c r="G102" s="2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25"/>
      <c r="AO102" s="25"/>
    </row>
    <row r="103" spans="2:41" x14ac:dyDescent="0.2">
      <c r="B103" s="22" t="str">
        <f>'Wzorzec kategorii'!B65</f>
        <v>Bilet PKP, PKS</v>
      </c>
      <c r="C103" s="19">
        <v>0</v>
      </c>
      <c r="D103" s="20">
        <f>SUM(Tabela1942176[#This Row])</f>
        <v>0</v>
      </c>
      <c r="E103" s="20">
        <f t="shared" si="7"/>
        <v>0</v>
      </c>
      <c r="F103" s="21" t="str">
        <f t="shared" si="8"/>
        <v/>
      </c>
      <c r="G103" s="24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25"/>
      <c r="AO103" s="25"/>
    </row>
    <row r="104" spans="2:41" x14ac:dyDescent="0.2">
      <c r="B104" s="22" t="str">
        <f>'Wzorzec kategorii'!B66</f>
        <v>Taxi</v>
      </c>
      <c r="C104" s="19">
        <v>0</v>
      </c>
      <c r="D104" s="20">
        <f>SUM(Tabela1942176[#This Row])</f>
        <v>0</v>
      </c>
      <c r="E104" s="20">
        <f t="shared" si="7"/>
        <v>0</v>
      </c>
      <c r="F104" s="21" t="str">
        <f t="shared" si="8"/>
        <v/>
      </c>
      <c r="G104" s="24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25"/>
      <c r="AO104" s="25"/>
    </row>
    <row r="105" spans="2:41" x14ac:dyDescent="0.2">
      <c r="B105" s="22" t="str">
        <f>'Wzorzec kategorii'!B67</f>
        <v>Inne</v>
      </c>
      <c r="C105" s="19">
        <v>0</v>
      </c>
      <c r="D105" s="20">
        <f>SUM(Tabela1942176[#This Row])</f>
        <v>0</v>
      </c>
      <c r="E105" s="20">
        <f t="shared" si="7"/>
        <v>0</v>
      </c>
      <c r="F105" s="21" t="str">
        <f t="shared" si="8"/>
        <v/>
      </c>
      <c r="G105" s="2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25"/>
      <c r="AO105" s="25"/>
    </row>
    <row r="106" spans="2:41" x14ac:dyDescent="0.2">
      <c r="B106" s="22" t="str">
        <f>'Wzorzec kategorii'!B68</f>
        <v>.</v>
      </c>
      <c r="C106" s="19">
        <v>0</v>
      </c>
      <c r="D106" s="20">
        <f>SUM(Tabela1942176[#This Row])</f>
        <v>0</v>
      </c>
      <c r="E106" s="20">
        <f t="shared" si="7"/>
        <v>0</v>
      </c>
      <c r="F106" s="53" t="str">
        <f t="shared" si="8"/>
        <v/>
      </c>
      <c r="G106" s="54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25"/>
      <c r="AO106" s="25"/>
    </row>
    <row r="107" spans="2:41" x14ac:dyDescent="0.2">
      <c r="B107" s="22" t="str">
        <f>'Wzorzec kategorii'!B69</f>
        <v>.</v>
      </c>
      <c r="C107" s="19">
        <v>0</v>
      </c>
      <c r="D107" s="20">
        <f>SUM(Tabela1942176[#This Row])</f>
        <v>0</v>
      </c>
      <c r="E107" s="20">
        <f t="shared" si="7"/>
        <v>0</v>
      </c>
      <c r="F107" s="53" t="str">
        <f t="shared" si="8"/>
        <v/>
      </c>
      <c r="G107" s="54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25"/>
      <c r="AO107" s="25"/>
    </row>
    <row r="108" spans="2:41" x14ac:dyDescent="0.2">
      <c r="B108" s="5" t="s">
        <v>30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</row>
    <row r="109" spans="2:41" x14ac:dyDescent="0.2">
      <c r="B109" s="2" t="str">
        <f>'Wzorzec kategorii'!B71</f>
        <v>Telekomunikacja</v>
      </c>
      <c r="C109" s="3">
        <f>SUM(Tabela832166[[#All],[Kolumna2]])</f>
        <v>0</v>
      </c>
      <c r="D109" s="16">
        <f>SUM(Tabela832166[[#All],[Kolumna3]])</f>
        <v>0</v>
      </c>
      <c r="E109" s="3">
        <f>C109-D109</f>
        <v>0</v>
      </c>
      <c r="F109" s="17" t="str">
        <f t="shared" ref="F109:F119" si="9">IFERROR(D109/C109,"")</f>
        <v/>
      </c>
      <c r="G109" s="3"/>
      <c r="I109" s="11" t="s">
        <v>44</v>
      </c>
      <c r="J109" s="11" t="s">
        <v>45</v>
      </c>
      <c r="K109" s="11" t="s">
        <v>46</v>
      </c>
      <c r="L109" s="11" t="s">
        <v>47</v>
      </c>
      <c r="M109" s="11" t="s">
        <v>48</v>
      </c>
      <c r="N109" s="11" t="s">
        <v>49</v>
      </c>
      <c r="O109" s="11" t="s">
        <v>50</v>
      </c>
      <c r="P109" s="11" t="s">
        <v>51</v>
      </c>
      <c r="Q109" s="11" t="s">
        <v>52</v>
      </c>
      <c r="R109" s="11" t="s">
        <v>53</v>
      </c>
      <c r="S109" s="11" t="s">
        <v>54</v>
      </c>
      <c r="T109" s="11" t="s">
        <v>55</v>
      </c>
      <c r="U109" s="11" t="s">
        <v>56</v>
      </c>
      <c r="V109" s="11" t="s">
        <v>57</v>
      </c>
      <c r="W109" s="11" t="s">
        <v>58</v>
      </c>
      <c r="X109" s="11" t="s">
        <v>59</v>
      </c>
      <c r="Y109" s="11" t="s">
        <v>60</v>
      </c>
      <c r="Z109" s="11" t="s">
        <v>61</v>
      </c>
      <c r="AA109" s="11" t="s">
        <v>62</v>
      </c>
      <c r="AB109" s="11" t="s">
        <v>63</v>
      </c>
      <c r="AC109" s="11" t="s">
        <v>64</v>
      </c>
      <c r="AD109" s="11" t="s">
        <v>65</v>
      </c>
      <c r="AE109" s="11" t="s">
        <v>66</v>
      </c>
      <c r="AF109" s="11" t="s">
        <v>67</v>
      </c>
      <c r="AG109" s="11" t="s">
        <v>68</v>
      </c>
      <c r="AH109" s="11" t="s">
        <v>69</v>
      </c>
      <c r="AI109" s="11" t="s">
        <v>70</v>
      </c>
      <c r="AJ109" s="11" t="s">
        <v>71</v>
      </c>
      <c r="AK109" s="11" t="s">
        <v>72</v>
      </c>
      <c r="AL109" s="11" t="s">
        <v>73</v>
      </c>
      <c r="AM109" s="11" t="s">
        <v>74</v>
      </c>
      <c r="AN109" s="25"/>
      <c r="AO109" s="25"/>
    </row>
    <row r="110" spans="2:41" x14ac:dyDescent="0.2">
      <c r="B110" s="22" t="str">
        <f>'Wzorzec kategorii'!B72</f>
        <v>Telefon 1</v>
      </c>
      <c r="C110" s="19">
        <v>0</v>
      </c>
      <c r="D110" s="20">
        <f>SUM(Tabela192143177[#This Row])</f>
        <v>0</v>
      </c>
      <c r="E110" s="20">
        <f t="shared" ref="E110:E119" si="10">C110-D110</f>
        <v>0</v>
      </c>
      <c r="F110" s="21" t="str">
        <f t="shared" si="9"/>
        <v/>
      </c>
      <c r="G110" s="24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25"/>
      <c r="AO110" s="25"/>
    </row>
    <row r="111" spans="2:41" x14ac:dyDescent="0.2">
      <c r="B111" s="22" t="str">
        <f>'Wzorzec kategorii'!B73</f>
        <v>Telefon 2</v>
      </c>
      <c r="C111" s="19">
        <v>0</v>
      </c>
      <c r="D111" s="20">
        <f>SUM(Tabela192143177[#This Row])</f>
        <v>0</v>
      </c>
      <c r="E111" s="20">
        <f t="shared" si="10"/>
        <v>0</v>
      </c>
      <c r="F111" s="21" t="str">
        <f t="shared" si="9"/>
        <v/>
      </c>
      <c r="G111" s="24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25"/>
      <c r="AO111" s="25"/>
    </row>
    <row r="112" spans="2:41" x14ac:dyDescent="0.2">
      <c r="B112" s="22" t="str">
        <f>'Wzorzec kategorii'!B74</f>
        <v>TV</v>
      </c>
      <c r="C112" s="19">
        <v>0</v>
      </c>
      <c r="D112" s="20">
        <f>SUM(Tabela192143177[#This Row])</f>
        <v>0</v>
      </c>
      <c r="E112" s="20">
        <f t="shared" si="10"/>
        <v>0</v>
      </c>
      <c r="F112" s="21" t="str">
        <f t="shared" si="9"/>
        <v/>
      </c>
      <c r="G112" s="2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5"/>
      <c r="AO112" s="25"/>
    </row>
    <row r="113" spans="2:41" x14ac:dyDescent="0.2">
      <c r="B113" s="22" t="str">
        <f>'Wzorzec kategorii'!B75</f>
        <v>Internet</v>
      </c>
      <c r="C113" s="19">
        <v>0</v>
      </c>
      <c r="D113" s="20">
        <f>SUM(Tabela192143177[#This Row])</f>
        <v>0</v>
      </c>
      <c r="E113" s="20">
        <f t="shared" si="10"/>
        <v>0</v>
      </c>
      <c r="F113" s="21" t="str">
        <f t="shared" si="9"/>
        <v/>
      </c>
      <c r="G113" s="2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25"/>
      <c r="AO113" s="25"/>
    </row>
    <row r="114" spans="2:41" x14ac:dyDescent="0.2">
      <c r="B114" s="22" t="str">
        <f>'Wzorzec kategorii'!B76</f>
        <v>Inne</v>
      </c>
      <c r="C114" s="19">
        <v>0</v>
      </c>
      <c r="D114" s="20">
        <f>SUM(Tabela192143177[#This Row])</f>
        <v>0</v>
      </c>
      <c r="E114" s="20">
        <f t="shared" si="10"/>
        <v>0</v>
      </c>
      <c r="F114" s="21" t="str">
        <f t="shared" si="9"/>
        <v/>
      </c>
      <c r="G114" s="2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25"/>
      <c r="AO114" s="25"/>
    </row>
    <row r="115" spans="2:41" x14ac:dyDescent="0.2">
      <c r="B115" s="22" t="str">
        <f>'Wzorzec kategorii'!B77</f>
        <v>.</v>
      </c>
      <c r="C115" s="19">
        <v>0</v>
      </c>
      <c r="D115" s="20">
        <f>SUM(Tabela192143177[#This Row])</f>
        <v>0</v>
      </c>
      <c r="E115" s="20">
        <f t="shared" si="10"/>
        <v>0</v>
      </c>
      <c r="F115" s="53" t="str">
        <f t="shared" si="9"/>
        <v/>
      </c>
      <c r="G115" s="54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25"/>
      <c r="AO115" s="25"/>
    </row>
    <row r="116" spans="2:41" x14ac:dyDescent="0.2">
      <c r="B116" s="22" t="str">
        <f>'Wzorzec kategorii'!B78</f>
        <v>.</v>
      </c>
      <c r="C116" s="19">
        <v>0</v>
      </c>
      <c r="D116" s="20">
        <f>SUM(Tabela192143177[#This Row])</f>
        <v>0</v>
      </c>
      <c r="E116" s="20">
        <f t="shared" si="10"/>
        <v>0</v>
      </c>
      <c r="F116" s="53" t="str">
        <f t="shared" si="9"/>
        <v/>
      </c>
      <c r="G116" s="54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25"/>
      <c r="AO116" s="25"/>
    </row>
    <row r="117" spans="2:41" x14ac:dyDescent="0.2">
      <c r="B117" s="22" t="str">
        <f>'Wzorzec kategorii'!B79</f>
        <v>.</v>
      </c>
      <c r="C117" s="19">
        <v>0</v>
      </c>
      <c r="D117" s="20">
        <f>SUM(Tabela192143177[#This Row])</f>
        <v>0</v>
      </c>
      <c r="E117" s="20">
        <f t="shared" si="10"/>
        <v>0</v>
      </c>
      <c r="F117" s="53" t="str">
        <f t="shared" si="9"/>
        <v/>
      </c>
      <c r="G117" s="54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25"/>
      <c r="AO117" s="25"/>
    </row>
    <row r="118" spans="2:41" x14ac:dyDescent="0.2">
      <c r="B118" s="22" t="str">
        <f>'Wzorzec kategorii'!B80</f>
        <v>.</v>
      </c>
      <c r="C118" s="19">
        <v>0</v>
      </c>
      <c r="D118" s="20">
        <f>SUM(Tabela192143177[#This Row])</f>
        <v>0</v>
      </c>
      <c r="E118" s="20">
        <f t="shared" si="10"/>
        <v>0</v>
      </c>
      <c r="F118" s="53" t="str">
        <f t="shared" si="9"/>
        <v/>
      </c>
      <c r="G118" s="54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25"/>
      <c r="AO118" s="25"/>
    </row>
    <row r="119" spans="2:41" x14ac:dyDescent="0.2">
      <c r="B119" s="22" t="str">
        <f>'Wzorzec kategorii'!B81</f>
        <v>.</v>
      </c>
      <c r="C119" s="19">
        <v>0</v>
      </c>
      <c r="D119" s="20">
        <f>SUM(Tabela192143177[#This Row])</f>
        <v>0</v>
      </c>
      <c r="E119" s="20">
        <f t="shared" si="10"/>
        <v>0</v>
      </c>
      <c r="F119" s="53" t="str">
        <f t="shared" si="9"/>
        <v/>
      </c>
      <c r="G119" s="54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25"/>
      <c r="AO119" s="25"/>
    </row>
    <row r="120" spans="2:41" x14ac:dyDescent="0.2"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</row>
    <row r="121" spans="2:41" x14ac:dyDescent="0.2">
      <c r="B121" s="2" t="str">
        <f>'Wzorzec kategorii'!B83</f>
        <v>Opieka zdrowotna</v>
      </c>
      <c r="C121" s="3">
        <f>SUM(Tabela933167[[#All],[Kolumna2]])</f>
        <v>0</v>
      </c>
      <c r="D121" s="16">
        <f>SUM(Tabela933167[[#All],[Kolumna3]])</f>
        <v>0</v>
      </c>
      <c r="E121" s="3">
        <f>C121-D121</f>
        <v>0</v>
      </c>
      <c r="F121" s="17" t="str">
        <f>IFERROR(D121/C121,"")</f>
        <v/>
      </c>
      <c r="G121" s="3"/>
      <c r="I121" s="11" t="s">
        <v>44</v>
      </c>
      <c r="J121" s="11" t="s">
        <v>45</v>
      </c>
      <c r="K121" s="11" t="s">
        <v>46</v>
      </c>
      <c r="L121" s="11" t="s">
        <v>47</v>
      </c>
      <c r="M121" s="11" t="s">
        <v>48</v>
      </c>
      <c r="N121" s="11" t="s">
        <v>49</v>
      </c>
      <c r="O121" s="11" t="s">
        <v>50</v>
      </c>
      <c r="P121" s="11" t="s">
        <v>51</v>
      </c>
      <c r="Q121" s="11" t="s">
        <v>52</v>
      </c>
      <c r="R121" s="11" t="s">
        <v>53</v>
      </c>
      <c r="S121" s="11" t="s">
        <v>54</v>
      </c>
      <c r="T121" s="11" t="s">
        <v>55</v>
      </c>
      <c r="U121" s="11" t="s">
        <v>56</v>
      </c>
      <c r="V121" s="11" t="s">
        <v>57</v>
      </c>
      <c r="W121" s="11" t="s">
        <v>58</v>
      </c>
      <c r="X121" s="11" t="s">
        <v>59</v>
      </c>
      <c r="Y121" s="11" t="s">
        <v>60</v>
      </c>
      <c r="Z121" s="11" t="s">
        <v>61</v>
      </c>
      <c r="AA121" s="11" t="s">
        <v>62</v>
      </c>
      <c r="AB121" s="11" t="s">
        <v>63</v>
      </c>
      <c r="AC121" s="11" t="s">
        <v>64</v>
      </c>
      <c r="AD121" s="11" t="s">
        <v>65</v>
      </c>
      <c r="AE121" s="11" t="s">
        <v>66</v>
      </c>
      <c r="AF121" s="11" t="s">
        <v>67</v>
      </c>
      <c r="AG121" s="11" t="s">
        <v>68</v>
      </c>
      <c r="AH121" s="11" t="s">
        <v>69</v>
      </c>
      <c r="AI121" s="11" t="s">
        <v>70</v>
      </c>
      <c r="AJ121" s="11" t="s">
        <v>71</v>
      </c>
      <c r="AK121" s="11" t="s">
        <v>72</v>
      </c>
      <c r="AL121" s="11" t="s">
        <v>73</v>
      </c>
      <c r="AM121" s="11" t="s">
        <v>74</v>
      </c>
      <c r="AN121" s="25"/>
      <c r="AO121" s="25"/>
    </row>
    <row r="122" spans="2:41" x14ac:dyDescent="0.2">
      <c r="B122" s="22" t="str">
        <f>'Wzorzec kategorii'!B84</f>
        <v>Lekarz</v>
      </c>
      <c r="C122" s="19">
        <v>0</v>
      </c>
      <c r="D122" s="20">
        <f>SUM(Tabela19212547181[#This Row])</f>
        <v>0</v>
      </c>
      <c r="E122" s="20">
        <f t="shared" ref="E122:E131" si="11">C122-D122</f>
        <v>0</v>
      </c>
      <c r="F122" s="21" t="str">
        <f>IFERROR(D122/C122,"")</f>
        <v/>
      </c>
      <c r="G122" s="2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25"/>
      <c r="AO122" s="25"/>
    </row>
    <row r="123" spans="2:41" x14ac:dyDescent="0.2">
      <c r="B123" s="22" t="str">
        <f>'Wzorzec kategorii'!B85</f>
        <v>Badania</v>
      </c>
      <c r="C123" s="19">
        <v>0</v>
      </c>
      <c r="D123" s="20">
        <f>SUM(Tabela19212547181[#This Row])</f>
        <v>0</v>
      </c>
      <c r="E123" s="20">
        <f t="shared" si="11"/>
        <v>0</v>
      </c>
      <c r="F123" s="21" t="str">
        <f>IFERROR(D123/C123,"")</f>
        <v/>
      </c>
      <c r="G123" s="2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25"/>
      <c r="AO123" s="25"/>
    </row>
    <row r="124" spans="2:41" x14ac:dyDescent="0.2">
      <c r="B124" s="22" t="str">
        <f>'Wzorzec kategorii'!B86</f>
        <v>Lekarstwa</v>
      </c>
      <c r="C124" s="19">
        <v>0</v>
      </c>
      <c r="D124" s="20">
        <f>SUM(Tabela19212547181[#This Row])</f>
        <v>0</v>
      </c>
      <c r="E124" s="20">
        <f t="shared" si="11"/>
        <v>0</v>
      </c>
      <c r="F124" s="21" t="str">
        <f>IFERROR(D124/C124,"")</f>
        <v/>
      </c>
      <c r="G124" s="2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25"/>
      <c r="AO124" s="25"/>
    </row>
    <row r="125" spans="2:41" x14ac:dyDescent="0.2">
      <c r="B125" s="22" t="str">
        <f>'Wzorzec kategorii'!B87</f>
        <v>Inne</v>
      </c>
      <c r="C125" s="19">
        <v>0</v>
      </c>
      <c r="D125" s="20">
        <f>SUM(Tabela19212547181[#This Row])</f>
        <v>0</v>
      </c>
      <c r="E125" s="20">
        <f t="shared" si="11"/>
        <v>0</v>
      </c>
      <c r="F125" s="21" t="str">
        <f>IFERROR(D125/C125,"")</f>
        <v/>
      </c>
      <c r="G125" s="24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25"/>
      <c r="AO125" s="25"/>
    </row>
    <row r="126" spans="2:41" x14ac:dyDescent="0.2">
      <c r="B126" s="50" t="str">
        <f>'Wzorzec kategorii'!B88</f>
        <v>.</v>
      </c>
      <c r="C126" s="19">
        <v>0</v>
      </c>
      <c r="D126" s="20">
        <f>SUM(Tabela19212547181[#This Row])</f>
        <v>0</v>
      </c>
      <c r="E126" s="20">
        <f t="shared" si="11"/>
        <v>0</v>
      </c>
      <c r="F126" s="53" t="str">
        <f t="shared" ref="F126:F131" si="12">IFERROR(D126/C126,"")</f>
        <v/>
      </c>
      <c r="G126" s="54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25"/>
      <c r="AO126" s="25"/>
    </row>
    <row r="127" spans="2:41" x14ac:dyDescent="0.2">
      <c r="B127" s="50" t="str">
        <f>'Wzorzec kategorii'!B89</f>
        <v>.</v>
      </c>
      <c r="C127" s="19">
        <v>0</v>
      </c>
      <c r="D127" s="20">
        <f>SUM(Tabela19212547181[#This Row])</f>
        <v>0</v>
      </c>
      <c r="E127" s="20">
        <f t="shared" si="11"/>
        <v>0</v>
      </c>
      <c r="F127" s="53" t="str">
        <f t="shared" si="12"/>
        <v/>
      </c>
      <c r="G127" s="54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25"/>
      <c r="AO127" s="25"/>
    </row>
    <row r="128" spans="2:41" x14ac:dyDescent="0.2">
      <c r="B128" s="50" t="str">
        <f>'Wzorzec kategorii'!B90</f>
        <v>.</v>
      </c>
      <c r="C128" s="19">
        <v>0</v>
      </c>
      <c r="D128" s="20">
        <f>SUM(Tabela19212547181[#This Row])</f>
        <v>0</v>
      </c>
      <c r="E128" s="20">
        <f t="shared" si="11"/>
        <v>0</v>
      </c>
      <c r="F128" s="53" t="str">
        <f t="shared" si="12"/>
        <v/>
      </c>
      <c r="G128" s="54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25"/>
      <c r="AO128" s="25"/>
    </row>
    <row r="129" spans="2:41" x14ac:dyDescent="0.2">
      <c r="B129" s="50" t="str">
        <f>'Wzorzec kategorii'!B91</f>
        <v>.</v>
      </c>
      <c r="C129" s="19">
        <v>0</v>
      </c>
      <c r="D129" s="20">
        <f>SUM(Tabela19212547181[#This Row])</f>
        <v>0</v>
      </c>
      <c r="E129" s="20">
        <f t="shared" si="11"/>
        <v>0</v>
      </c>
      <c r="F129" s="53" t="str">
        <f t="shared" si="12"/>
        <v/>
      </c>
      <c r="G129" s="54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25"/>
      <c r="AO129" s="25"/>
    </row>
    <row r="130" spans="2:41" x14ac:dyDescent="0.2">
      <c r="B130" s="50" t="str">
        <f>'Wzorzec kategorii'!B92</f>
        <v>.</v>
      </c>
      <c r="C130" s="19">
        <v>0</v>
      </c>
      <c r="D130" s="20">
        <f>SUM(Tabela19212547181[#This Row])</f>
        <v>0</v>
      </c>
      <c r="E130" s="20">
        <f t="shared" si="11"/>
        <v>0</v>
      </c>
      <c r="F130" s="53" t="str">
        <f t="shared" si="12"/>
        <v/>
      </c>
      <c r="G130" s="54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25"/>
      <c r="AO130" s="25"/>
    </row>
    <row r="131" spans="2:41" x14ac:dyDescent="0.2">
      <c r="B131" s="50" t="str">
        <f>'Wzorzec kategorii'!B93</f>
        <v>.</v>
      </c>
      <c r="C131" s="19">
        <v>0</v>
      </c>
      <c r="D131" s="20">
        <f>SUM(Tabela19212547181[#This Row])</f>
        <v>0</v>
      </c>
      <c r="E131" s="20">
        <f t="shared" si="11"/>
        <v>0</v>
      </c>
      <c r="F131" s="53" t="str">
        <f t="shared" si="12"/>
        <v/>
      </c>
      <c r="G131" s="54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25"/>
      <c r="AO131" s="25"/>
    </row>
    <row r="132" spans="2:41" x14ac:dyDescent="0.2">
      <c r="B132" s="13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</row>
    <row r="133" spans="2:41" x14ac:dyDescent="0.2">
      <c r="B133" s="2" t="str">
        <f>'Wzorzec kategorii'!B95</f>
        <v>Ubranie</v>
      </c>
      <c r="C133" s="3">
        <f>SUM(Tabela1034168[[#All],[Kolumna2]])</f>
        <v>0</v>
      </c>
      <c r="D133" s="16">
        <f>SUM(Tabela1034168[[#All],[Kolumna3]])</f>
        <v>0</v>
      </c>
      <c r="E133" s="3">
        <f>C133-D133</f>
        <v>0</v>
      </c>
      <c r="F133" s="17" t="str">
        <f t="shared" ref="F133:F143" si="13">IFERROR(D133/C133,"")</f>
        <v/>
      </c>
      <c r="G133" s="3"/>
      <c r="I133" s="11" t="s">
        <v>44</v>
      </c>
      <c r="J133" s="11" t="s">
        <v>45</v>
      </c>
      <c r="K133" s="11" t="s">
        <v>46</v>
      </c>
      <c r="L133" s="11" t="s">
        <v>47</v>
      </c>
      <c r="M133" s="11" t="s">
        <v>48</v>
      </c>
      <c r="N133" s="11" t="s">
        <v>49</v>
      </c>
      <c r="O133" s="11" t="s">
        <v>50</v>
      </c>
      <c r="P133" s="11" t="s">
        <v>51</v>
      </c>
      <c r="Q133" s="11" t="s">
        <v>52</v>
      </c>
      <c r="R133" s="11" t="s">
        <v>53</v>
      </c>
      <c r="S133" s="11" t="s">
        <v>54</v>
      </c>
      <c r="T133" s="11" t="s">
        <v>55</v>
      </c>
      <c r="U133" s="11" t="s">
        <v>56</v>
      </c>
      <c r="V133" s="11" t="s">
        <v>57</v>
      </c>
      <c r="W133" s="11" t="s">
        <v>58</v>
      </c>
      <c r="X133" s="11" t="s">
        <v>59</v>
      </c>
      <c r="Y133" s="11" t="s">
        <v>60</v>
      </c>
      <c r="Z133" s="11" t="s">
        <v>61</v>
      </c>
      <c r="AA133" s="11" t="s">
        <v>62</v>
      </c>
      <c r="AB133" s="11" t="s">
        <v>63</v>
      </c>
      <c r="AC133" s="11" t="s">
        <v>64</v>
      </c>
      <c r="AD133" s="11" t="s">
        <v>65</v>
      </c>
      <c r="AE133" s="11" t="s">
        <v>66</v>
      </c>
      <c r="AF133" s="11" t="s">
        <v>67</v>
      </c>
      <c r="AG133" s="11" t="s">
        <v>68</v>
      </c>
      <c r="AH133" s="11" t="s">
        <v>69</v>
      </c>
      <c r="AI133" s="11" t="s">
        <v>70</v>
      </c>
      <c r="AJ133" s="11" t="s">
        <v>71</v>
      </c>
      <c r="AK133" s="11" t="s">
        <v>72</v>
      </c>
      <c r="AL133" s="11" t="s">
        <v>73</v>
      </c>
      <c r="AM133" s="11" t="s">
        <v>74</v>
      </c>
      <c r="AN133" s="25"/>
      <c r="AO133" s="25"/>
    </row>
    <row r="134" spans="2:41" x14ac:dyDescent="0.2">
      <c r="B134" s="22" t="str">
        <f>'Wzorzec kategorii'!B96</f>
        <v>Ubranie zwykłe</v>
      </c>
      <c r="C134" s="19">
        <v>0</v>
      </c>
      <c r="D134" s="20">
        <f>SUM(Tabela19212446180[#This Row])</f>
        <v>0</v>
      </c>
      <c r="E134" s="20">
        <f t="shared" ref="E134:E143" si="14">C134-D134</f>
        <v>0</v>
      </c>
      <c r="F134" s="21" t="str">
        <f t="shared" si="13"/>
        <v/>
      </c>
      <c r="G134" s="2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25"/>
      <c r="AO134" s="25"/>
    </row>
    <row r="135" spans="2:41" x14ac:dyDescent="0.2">
      <c r="B135" s="22" t="str">
        <f>'Wzorzec kategorii'!B97</f>
        <v>Ubranie sportowe</v>
      </c>
      <c r="C135" s="19">
        <v>0</v>
      </c>
      <c r="D135" s="20">
        <f>SUM(Tabela19212446180[#This Row])</f>
        <v>0</v>
      </c>
      <c r="E135" s="20">
        <f t="shared" si="14"/>
        <v>0</v>
      </c>
      <c r="F135" s="21" t="str">
        <f t="shared" si="13"/>
        <v/>
      </c>
      <c r="G135" s="24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25"/>
      <c r="AO135" s="25"/>
    </row>
    <row r="136" spans="2:41" x14ac:dyDescent="0.2">
      <c r="B136" s="22" t="str">
        <f>'Wzorzec kategorii'!B98</f>
        <v>Buty</v>
      </c>
      <c r="C136" s="19">
        <v>0</v>
      </c>
      <c r="D136" s="20">
        <f>SUM(Tabela19212446180[#This Row])</f>
        <v>0</v>
      </c>
      <c r="E136" s="20">
        <f t="shared" si="14"/>
        <v>0</v>
      </c>
      <c r="F136" s="21" t="str">
        <f t="shared" si="13"/>
        <v/>
      </c>
      <c r="G136" s="24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25"/>
      <c r="AO136" s="25"/>
    </row>
    <row r="137" spans="2:41" x14ac:dyDescent="0.2">
      <c r="B137" s="22" t="str">
        <f>'Wzorzec kategorii'!B99</f>
        <v>Dodatki</v>
      </c>
      <c r="C137" s="19">
        <v>0</v>
      </c>
      <c r="D137" s="20">
        <f>SUM(Tabela19212446180[#This Row])</f>
        <v>0</v>
      </c>
      <c r="E137" s="20">
        <f t="shared" si="14"/>
        <v>0</v>
      </c>
      <c r="F137" s="21" t="str">
        <f t="shared" si="13"/>
        <v/>
      </c>
      <c r="G137" s="2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25"/>
      <c r="AO137" s="25"/>
    </row>
    <row r="138" spans="2:41" x14ac:dyDescent="0.2">
      <c r="B138" s="22" t="str">
        <f>'Wzorzec kategorii'!B100</f>
        <v>Inne</v>
      </c>
      <c r="C138" s="19">
        <v>0</v>
      </c>
      <c r="D138" s="20">
        <f>SUM(Tabela19212446180[#This Row])</f>
        <v>0</v>
      </c>
      <c r="E138" s="20">
        <f t="shared" si="14"/>
        <v>0</v>
      </c>
      <c r="F138" s="21" t="str">
        <f t="shared" si="13"/>
        <v/>
      </c>
      <c r="G138" s="2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25"/>
      <c r="AO138" s="25"/>
    </row>
    <row r="139" spans="2:41" x14ac:dyDescent="0.2">
      <c r="B139" s="50" t="str">
        <f>'Wzorzec kategorii'!B101</f>
        <v>.</v>
      </c>
      <c r="C139" s="19">
        <v>0</v>
      </c>
      <c r="D139" s="20">
        <f>SUM(Tabela19212446180[#This Row])</f>
        <v>0</v>
      </c>
      <c r="E139" s="20">
        <f t="shared" si="14"/>
        <v>0</v>
      </c>
      <c r="F139" s="53" t="str">
        <f t="shared" si="13"/>
        <v/>
      </c>
      <c r="G139" s="54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25"/>
      <c r="AO139" s="25"/>
    </row>
    <row r="140" spans="2:41" x14ac:dyDescent="0.2">
      <c r="B140" s="50" t="str">
        <f>'Wzorzec kategorii'!B102</f>
        <v>.</v>
      </c>
      <c r="C140" s="19">
        <v>0</v>
      </c>
      <c r="D140" s="20">
        <f>SUM(Tabela19212446180[#This Row])</f>
        <v>0</v>
      </c>
      <c r="E140" s="20">
        <f t="shared" si="14"/>
        <v>0</v>
      </c>
      <c r="F140" s="53" t="str">
        <f t="shared" si="13"/>
        <v/>
      </c>
      <c r="G140" s="54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25"/>
      <c r="AO140" s="25"/>
    </row>
    <row r="141" spans="2:41" x14ac:dyDescent="0.2">
      <c r="B141" s="50" t="str">
        <f>'Wzorzec kategorii'!B103</f>
        <v>.</v>
      </c>
      <c r="C141" s="19">
        <v>0</v>
      </c>
      <c r="D141" s="20">
        <f>SUM(Tabela19212446180[#This Row])</f>
        <v>0</v>
      </c>
      <c r="E141" s="20">
        <f t="shared" si="14"/>
        <v>0</v>
      </c>
      <c r="F141" s="53" t="str">
        <f t="shared" si="13"/>
        <v/>
      </c>
      <c r="G141" s="54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25"/>
      <c r="AO141" s="25"/>
    </row>
    <row r="142" spans="2:41" x14ac:dyDescent="0.2">
      <c r="B142" s="50" t="str">
        <f>'Wzorzec kategorii'!B104</f>
        <v>.</v>
      </c>
      <c r="C142" s="19">
        <v>0</v>
      </c>
      <c r="D142" s="20">
        <f>SUM(Tabela19212446180[#This Row])</f>
        <v>0</v>
      </c>
      <c r="E142" s="20">
        <f t="shared" si="14"/>
        <v>0</v>
      </c>
      <c r="F142" s="53" t="str">
        <f t="shared" si="13"/>
        <v/>
      </c>
      <c r="G142" s="54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25"/>
      <c r="AO142" s="25"/>
    </row>
    <row r="143" spans="2:41" x14ac:dyDescent="0.2">
      <c r="B143" s="50" t="str">
        <f>'Wzorzec kategorii'!B105</f>
        <v>.</v>
      </c>
      <c r="C143" s="19">
        <v>0</v>
      </c>
      <c r="D143" s="20">
        <f>SUM(Tabela19212446180[#This Row])</f>
        <v>0</v>
      </c>
      <c r="E143" s="20">
        <f t="shared" si="14"/>
        <v>0</v>
      </c>
      <c r="F143" s="53" t="str">
        <f t="shared" si="13"/>
        <v/>
      </c>
      <c r="G143" s="54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25"/>
      <c r="AO143" s="25"/>
    </row>
    <row r="144" spans="2:41" x14ac:dyDescent="0.2">
      <c r="B144" s="5" t="s">
        <v>30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</row>
    <row r="145" spans="2:41" x14ac:dyDescent="0.2">
      <c r="B145" s="2" t="str">
        <f>'Wzorzec kategorii'!B107</f>
        <v>Higiena</v>
      </c>
      <c r="C145" s="3">
        <f>SUM(Tabela1135169[[#All],[Kolumna2]])</f>
        <v>0</v>
      </c>
      <c r="D145" s="16">
        <f>SUM(Tabela1135169[[#All],[Kolumna3]])</f>
        <v>0</v>
      </c>
      <c r="E145" s="3">
        <f>C145-D145</f>
        <v>0</v>
      </c>
      <c r="F145" s="17" t="str">
        <f t="shared" ref="F145:F155" si="15">IFERROR(D145/C145,"")</f>
        <v/>
      </c>
      <c r="G145" s="3"/>
      <c r="I145" s="11" t="s">
        <v>44</v>
      </c>
      <c r="J145" s="11" t="s">
        <v>45</v>
      </c>
      <c r="K145" s="11" t="s">
        <v>46</v>
      </c>
      <c r="L145" s="11" t="s">
        <v>47</v>
      </c>
      <c r="M145" s="11" t="s">
        <v>48</v>
      </c>
      <c r="N145" s="11" t="s">
        <v>49</v>
      </c>
      <c r="O145" s="11" t="s">
        <v>50</v>
      </c>
      <c r="P145" s="11" t="s">
        <v>51</v>
      </c>
      <c r="Q145" s="11" t="s">
        <v>52</v>
      </c>
      <c r="R145" s="11" t="s">
        <v>53</v>
      </c>
      <c r="S145" s="11" t="s">
        <v>54</v>
      </c>
      <c r="T145" s="11" t="s">
        <v>55</v>
      </c>
      <c r="U145" s="11" t="s">
        <v>56</v>
      </c>
      <c r="V145" s="11" t="s">
        <v>57</v>
      </c>
      <c r="W145" s="11" t="s">
        <v>58</v>
      </c>
      <c r="X145" s="11" t="s">
        <v>59</v>
      </c>
      <c r="Y145" s="11" t="s">
        <v>60</v>
      </c>
      <c r="Z145" s="11" t="s">
        <v>61</v>
      </c>
      <c r="AA145" s="11" t="s">
        <v>62</v>
      </c>
      <c r="AB145" s="11" t="s">
        <v>63</v>
      </c>
      <c r="AC145" s="11" t="s">
        <v>64</v>
      </c>
      <c r="AD145" s="11" t="s">
        <v>65</v>
      </c>
      <c r="AE145" s="11" t="s">
        <v>66</v>
      </c>
      <c r="AF145" s="11" t="s">
        <v>67</v>
      </c>
      <c r="AG145" s="11" t="s">
        <v>68</v>
      </c>
      <c r="AH145" s="11" t="s">
        <v>69</v>
      </c>
      <c r="AI145" s="11" t="s">
        <v>70</v>
      </c>
      <c r="AJ145" s="11" t="s">
        <v>71</v>
      </c>
      <c r="AK145" s="11" t="s">
        <v>72</v>
      </c>
      <c r="AL145" s="11" t="s">
        <v>73</v>
      </c>
      <c r="AM145" s="11" t="s">
        <v>74</v>
      </c>
      <c r="AN145" s="25"/>
      <c r="AO145" s="25"/>
    </row>
    <row r="146" spans="2:41" x14ac:dyDescent="0.2">
      <c r="B146" s="22" t="str">
        <f>'Wzorzec kategorii'!B108</f>
        <v>Kosmetyki</v>
      </c>
      <c r="C146" s="19">
        <v>0</v>
      </c>
      <c r="D146" s="20">
        <f>SUM(Tabela192244178[#This Row])</f>
        <v>0</v>
      </c>
      <c r="E146" s="20">
        <f t="shared" ref="E146:E155" si="16">C146-D146</f>
        <v>0</v>
      </c>
      <c r="F146" s="21" t="str">
        <f t="shared" si="15"/>
        <v/>
      </c>
      <c r="G146" s="24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25"/>
      <c r="AO146" s="25"/>
    </row>
    <row r="147" spans="2:41" x14ac:dyDescent="0.2">
      <c r="B147" s="22" t="str">
        <f>'Wzorzec kategorii'!B109</f>
        <v>Środki czystości (chemia)</v>
      </c>
      <c r="C147" s="19">
        <v>0</v>
      </c>
      <c r="D147" s="20">
        <f>SUM(Tabela192244178[#This Row])</f>
        <v>0</v>
      </c>
      <c r="E147" s="20">
        <f t="shared" si="16"/>
        <v>0</v>
      </c>
      <c r="F147" s="21" t="str">
        <f t="shared" si="15"/>
        <v/>
      </c>
      <c r="G147" s="2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25"/>
      <c r="AO147" s="25"/>
    </row>
    <row r="148" spans="2:41" x14ac:dyDescent="0.2">
      <c r="B148" s="22" t="str">
        <f>'Wzorzec kategorii'!B110</f>
        <v>Fryzjer</v>
      </c>
      <c r="C148" s="19">
        <v>0</v>
      </c>
      <c r="D148" s="20">
        <f>SUM(Tabela192244178[#This Row])</f>
        <v>0</v>
      </c>
      <c r="E148" s="20">
        <f t="shared" si="16"/>
        <v>0</v>
      </c>
      <c r="F148" s="21" t="str">
        <f t="shared" si="15"/>
        <v/>
      </c>
      <c r="G148" s="2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25"/>
      <c r="AO148" s="25"/>
    </row>
    <row r="149" spans="2:41" x14ac:dyDescent="0.2">
      <c r="B149" s="22" t="str">
        <f>'Wzorzec kategorii'!B111</f>
        <v>Kosmetyczka</v>
      </c>
      <c r="C149" s="19">
        <v>0</v>
      </c>
      <c r="D149" s="20">
        <f>SUM(Tabela192244178[#This Row])</f>
        <v>0</v>
      </c>
      <c r="E149" s="20">
        <f t="shared" si="16"/>
        <v>0</v>
      </c>
      <c r="F149" s="21" t="str">
        <f t="shared" si="15"/>
        <v/>
      </c>
      <c r="G149" s="2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25"/>
      <c r="AO149" s="25"/>
    </row>
    <row r="150" spans="2:41" x14ac:dyDescent="0.2">
      <c r="B150" s="22" t="str">
        <f>'Wzorzec kategorii'!B112</f>
        <v>Inne</v>
      </c>
      <c r="C150" s="19">
        <v>0</v>
      </c>
      <c r="D150" s="20">
        <f>SUM(Tabela192244178[#This Row])</f>
        <v>0</v>
      </c>
      <c r="E150" s="20">
        <f t="shared" si="16"/>
        <v>0</v>
      </c>
      <c r="F150" s="21" t="str">
        <f t="shared" si="15"/>
        <v/>
      </c>
      <c r="G150" s="2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25"/>
      <c r="AO150" s="25"/>
    </row>
    <row r="151" spans="2:41" x14ac:dyDescent="0.2">
      <c r="B151" s="22" t="str">
        <f>'Wzorzec kategorii'!B113</f>
        <v>.</v>
      </c>
      <c r="C151" s="19">
        <v>0</v>
      </c>
      <c r="D151" s="20">
        <f>SUM(Tabela192244178[#This Row])</f>
        <v>0</v>
      </c>
      <c r="E151" s="20">
        <f t="shared" si="16"/>
        <v>0</v>
      </c>
      <c r="F151" s="53" t="str">
        <f t="shared" si="15"/>
        <v/>
      </c>
      <c r="G151" s="54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25"/>
      <c r="AO151" s="25"/>
    </row>
    <row r="152" spans="2:41" x14ac:dyDescent="0.2">
      <c r="B152" s="22" t="str">
        <f>'Wzorzec kategorii'!B114</f>
        <v>.</v>
      </c>
      <c r="C152" s="19">
        <v>0</v>
      </c>
      <c r="D152" s="20">
        <f>SUM(Tabela192244178[#This Row])</f>
        <v>0</v>
      </c>
      <c r="E152" s="20">
        <f t="shared" si="16"/>
        <v>0</v>
      </c>
      <c r="F152" s="53" t="str">
        <f t="shared" si="15"/>
        <v/>
      </c>
      <c r="G152" s="54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25"/>
      <c r="AO152" s="25"/>
    </row>
    <row r="153" spans="2:41" x14ac:dyDescent="0.2">
      <c r="B153" s="22" t="str">
        <f>'Wzorzec kategorii'!B115</f>
        <v>.</v>
      </c>
      <c r="C153" s="19">
        <v>0</v>
      </c>
      <c r="D153" s="20">
        <f>SUM(Tabela192244178[#This Row])</f>
        <v>0</v>
      </c>
      <c r="E153" s="20">
        <f t="shared" si="16"/>
        <v>0</v>
      </c>
      <c r="F153" s="53" t="str">
        <f t="shared" si="15"/>
        <v/>
      </c>
      <c r="G153" s="54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25"/>
      <c r="AO153" s="25"/>
    </row>
    <row r="154" spans="2:41" x14ac:dyDescent="0.2">
      <c r="B154" s="22" t="str">
        <f>'Wzorzec kategorii'!B116</f>
        <v>.</v>
      </c>
      <c r="C154" s="19">
        <v>0</v>
      </c>
      <c r="D154" s="20">
        <f>SUM(Tabela192244178[#This Row])</f>
        <v>0</v>
      </c>
      <c r="E154" s="20">
        <f t="shared" si="16"/>
        <v>0</v>
      </c>
      <c r="F154" s="53" t="str">
        <f t="shared" si="15"/>
        <v/>
      </c>
      <c r="G154" s="54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25"/>
      <c r="AO154" s="25"/>
    </row>
    <row r="155" spans="2:41" x14ac:dyDescent="0.2">
      <c r="B155" s="22" t="str">
        <f>'Wzorzec kategorii'!B117</f>
        <v>.</v>
      </c>
      <c r="C155" s="19">
        <v>0</v>
      </c>
      <c r="D155" s="20">
        <f>SUM(Tabela192244178[#This Row])</f>
        <v>0</v>
      </c>
      <c r="E155" s="20">
        <f t="shared" si="16"/>
        <v>0</v>
      </c>
      <c r="F155" s="53" t="str">
        <f t="shared" si="15"/>
        <v/>
      </c>
      <c r="G155" s="54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25"/>
      <c r="AO155" s="25"/>
    </row>
    <row r="156" spans="2:41" x14ac:dyDescent="0.2">
      <c r="B156" s="5" t="s">
        <v>30</v>
      </c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</row>
    <row r="157" spans="2:41" x14ac:dyDescent="0.2">
      <c r="B157" s="2" t="str">
        <f>'Wzorzec kategorii'!B119</f>
        <v>Dzieci</v>
      </c>
      <c r="C157" s="3">
        <f>SUM(Tabela1236170[[#All],[Kolumna2]])</f>
        <v>0</v>
      </c>
      <c r="D157" s="16">
        <f>SUM(Tabela1236170[[#All],[Kolumna3]])</f>
        <v>0</v>
      </c>
      <c r="E157" s="3">
        <f>C157-D157</f>
        <v>0</v>
      </c>
      <c r="F157" s="17" t="str">
        <f>IFERROR(D157/C157,"")</f>
        <v/>
      </c>
      <c r="G157" s="3"/>
      <c r="I157" s="11" t="s">
        <v>44</v>
      </c>
      <c r="J157" s="11" t="s">
        <v>45</v>
      </c>
      <c r="K157" s="11" t="s">
        <v>46</v>
      </c>
      <c r="L157" s="11" t="s">
        <v>47</v>
      </c>
      <c r="M157" s="11" t="s">
        <v>48</v>
      </c>
      <c r="N157" s="11" t="s">
        <v>49</v>
      </c>
      <c r="O157" s="11" t="s">
        <v>50</v>
      </c>
      <c r="P157" s="11" t="s">
        <v>51</v>
      </c>
      <c r="Q157" s="11" t="s">
        <v>52</v>
      </c>
      <c r="R157" s="11" t="s">
        <v>53</v>
      </c>
      <c r="S157" s="11" t="s">
        <v>54</v>
      </c>
      <c r="T157" s="11" t="s">
        <v>55</v>
      </c>
      <c r="U157" s="11" t="s">
        <v>56</v>
      </c>
      <c r="V157" s="11" t="s">
        <v>57</v>
      </c>
      <c r="W157" s="11" t="s">
        <v>58</v>
      </c>
      <c r="X157" s="11" t="s">
        <v>59</v>
      </c>
      <c r="Y157" s="11" t="s">
        <v>60</v>
      </c>
      <c r="Z157" s="11" t="s">
        <v>61</v>
      </c>
      <c r="AA157" s="11" t="s">
        <v>62</v>
      </c>
      <c r="AB157" s="11" t="s">
        <v>63</v>
      </c>
      <c r="AC157" s="11" t="s">
        <v>64</v>
      </c>
      <c r="AD157" s="11" t="s">
        <v>65</v>
      </c>
      <c r="AE157" s="11" t="s">
        <v>66</v>
      </c>
      <c r="AF157" s="11" t="s">
        <v>67</v>
      </c>
      <c r="AG157" s="11" t="s">
        <v>68</v>
      </c>
      <c r="AH157" s="11" t="s">
        <v>69</v>
      </c>
      <c r="AI157" s="11" t="s">
        <v>70</v>
      </c>
      <c r="AJ157" s="11" t="s">
        <v>71</v>
      </c>
      <c r="AK157" s="11" t="s">
        <v>72</v>
      </c>
      <c r="AL157" s="11" t="s">
        <v>73</v>
      </c>
      <c r="AM157" s="11" t="s">
        <v>74</v>
      </c>
      <c r="AN157" s="25"/>
      <c r="AO157" s="25"/>
    </row>
    <row r="158" spans="2:41" x14ac:dyDescent="0.2">
      <c r="B158" s="22" t="str">
        <f>'Wzorzec kategorii'!B120</f>
        <v>Artykuły szkolne</v>
      </c>
      <c r="C158" s="19">
        <v>0</v>
      </c>
      <c r="D158" s="20">
        <f>SUM(Tabela2548182[#This Row])</f>
        <v>0</v>
      </c>
      <c r="E158" s="20">
        <f t="shared" ref="E158:E167" si="17">C158-D158</f>
        <v>0</v>
      </c>
      <c r="F158" s="21" t="str">
        <f t="shared" ref="F158:F167" si="18">IFERROR(D158/C158,"")</f>
        <v/>
      </c>
      <c r="G158" s="2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25"/>
      <c r="AO158" s="25"/>
    </row>
    <row r="159" spans="2:41" x14ac:dyDescent="0.2">
      <c r="B159" s="22" t="str">
        <f>'Wzorzec kategorii'!B121</f>
        <v>Dodatkowe zajęcia</v>
      </c>
      <c r="C159" s="19">
        <v>0</v>
      </c>
      <c r="D159" s="20">
        <f>SUM(Tabela2548182[#This Row])</f>
        <v>0</v>
      </c>
      <c r="E159" s="20">
        <f t="shared" si="17"/>
        <v>0</v>
      </c>
      <c r="F159" s="21" t="str">
        <f t="shared" si="18"/>
        <v/>
      </c>
      <c r="G159" s="2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25"/>
      <c r="AO159" s="25"/>
    </row>
    <row r="160" spans="2:41" x14ac:dyDescent="0.2">
      <c r="B160" s="22" t="str">
        <f>'Wzorzec kategorii'!B122</f>
        <v>Wpłaty na szkołę itp.</v>
      </c>
      <c r="C160" s="19">
        <v>0</v>
      </c>
      <c r="D160" s="20">
        <f>SUM(Tabela2548182[#This Row])</f>
        <v>0</v>
      </c>
      <c r="E160" s="20">
        <f t="shared" si="17"/>
        <v>0</v>
      </c>
      <c r="F160" s="21" t="str">
        <f t="shared" si="18"/>
        <v/>
      </c>
      <c r="G160" s="2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25"/>
      <c r="AO160" s="25"/>
    </row>
    <row r="161" spans="2:41" x14ac:dyDescent="0.2">
      <c r="B161" s="22" t="str">
        <f>'Wzorzec kategorii'!B123</f>
        <v>Zabawki / gry</v>
      </c>
      <c r="C161" s="19">
        <v>0</v>
      </c>
      <c r="D161" s="20">
        <f>SUM(Tabela2548182[#This Row])</f>
        <v>0</v>
      </c>
      <c r="E161" s="20">
        <f t="shared" si="17"/>
        <v>0</v>
      </c>
      <c r="F161" s="21" t="str">
        <f t="shared" si="18"/>
        <v/>
      </c>
      <c r="G161" s="2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25"/>
      <c r="AO161" s="25"/>
    </row>
    <row r="162" spans="2:41" x14ac:dyDescent="0.2">
      <c r="B162" s="22" t="str">
        <f>'Wzorzec kategorii'!B124</f>
        <v>Opieka nad dziećmi</v>
      </c>
      <c r="C162" s="19">
        <v>0</v>
      </c>
      <c r="D162" s="20">
        <f>SUM(Tabela2548182[#This Row])</f>
        <v>0</v>
      </c>
      <c r="E162" s="20">
        <f t="shared" si="17"/>
        <v>0</v>
      </c>
      <c r="F162" s="21" t="str">
        <f t="shared" si="18"/>
        <v/>
      </c>
      <c r="G162" s="2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25"/>
      <c r="AO162" s="25"/>
    </row>
    <row r="163" spans="2:41" x14ac:dyDescent="0.2">
      <c r="B163" s="22" t="str">
        <f>'Wzorzec kategorii'!B125</f>
        <v>Inne</v>
      </c>
      <c r="C163" s="19">
        <v>0</v>
      </c>
      <c r="D163" s="20">
        <f>SUM(Tabela2548182[#This Row])</f>
        <v>0</v>
      </c>
      <c r="E163" s="20">
        <f t="shared" si="17"/>
        <v>0</v>
      </c>
      <c r="F163" s="21" t="str">
        <f t="shared" si="18"/>
        <v/>
      </c>
      <c r="G163" s="24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25"/>
      <c r="AO163" s="25"/>
    </row>
    <row r="164" spans="2:41" x14ac:dyDescent="0.2">
      <c r="B164" s="51" t="str">
        <f>'Wzorzec kategorii'!B126</f>
        <v>.</v>
      </c>
      <c r="C164" s="19">
        <v>0</v>
      </c>
      <c r="D164" s="20">
        <f>SUM(Tabela2548182[#This Row])</f>
        <v>0</v>
      </c>
      <c r="E164" s="20">
        <f t="shared" si="17"/>
        <v>0</v>
      </c>
      <c r="F164" s="53" t="str">
        <f t="shared" si="18"/>
        <v/>
      </c>
      <c r="G164" s="24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25"/>
      <c r="AO164" s="25"/>
    </row>
    <row r="165" spans="2:41" x14ac:dyDescent="0.2">
      <c r="B165" s="51" t="str">
        <f>'Wzorzec kategorii'!B127</f>
        <v>.</v>
      </c>
      <c r="C165" s="19">
        <v>0</v>
      </c>
      <c r="D165" s="20">
        <f>SUM(Tabela2548182[#This Row])</f>
        <v>0</v>
      </c>
      <c r="E165" s="20">
        <f t="shared" si="17"/>
        <v>0</v>
      </c>
      <c r="F165" s="53" t="str">
        <f t="shared" si="18"/>
        <v/>
      </c>
      <c r="G165" s="24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25"/>
      <c r="AO165" s="25"/>
    </row>
    <row r="166" spans="2:41" x14ac:dyDescent="0.2">
      <c r="B166" s="51" t="str">
        <f>'Wzorzec kategorii'!B128</f>
        <v>.</v>
      </c>
      <c r="C166" s="19">
        <v>0</v>
      </c>
      <c r="D166" s="20">
        <f>SUM(Tabela2548182[#This Row])</f>
        <v>0</v>
      </c>
      <c r="E166" s="20">
        <f t="shared" si="17"/>
        <v>0</v>
      </c>
      <c r="F166" s="53" t="str">
        <f t="shared" si="18"/>
        <v/>
      </c>
      <c r="G166" s="24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25"/>
      <c r="AO166" s="25"/>
    </row>
    <row r="167" spans="2:41" x14ac:dyDescent="0.2">
      <c r="B167" s="51" t="str">
        <f>'Wzorzec kategorii'!B129</f>
        <v>.</v>
      </c>
      <c r="C167" s="19">
        <v>0</v>
      </c>
      <c r="D167" s="20">
        <f>SUM(Tabela2548182[#This Row])</f>
        <v>0</v>
      </c>
      <c r="E167" s="20">
        <f t="shared" si="17"/>
        <v>0</v>
      </c>
      <c r="F167" s="53" t="str">
        <f t="shared" si="18"/>
        <v/>
      </c>
      <c r="G167" s="24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25"/>
      <c r="AO167" s="25"/>
    </row>
    <row r="168" spans="2:41" x14ac:dyDescent="0.2">
      <c r="B168" s="5" t="s">
        <v>30</v>
      </c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</row>
    <row r="169" spans="2:41" x14ac:dyDescent="0.2">
      <c r="B169" s="2" t="str">
        <f>'Wzorzec kategorii'!B131</f>
        <v>Rozrywka</v>
      </c>
      <c r="C169" s="3">
        <f>SUM(Tabela1337171[[#All],[Kolumna2]])</f>
        <v>0</v>
      </c>
      <c r="D169" s="16">
        <f>SUM(Tabela1337171[[#All],[Kolumna3]])</f>
        <v>0</v>
      </c>
      <c r="E169" s="3">
        <f>C169-D169</f>
        <v>0</v>
      </c>
      <c r="F169" s="17" t="str">
        <f>IFERROR(D169/C169,"")</f>
        <v/>
      </c>
      <c r="G169" s="3"/>
      <c r="I169" s="11" t="s">
        <v>44</v>
      </c>
      <c r="J169" s="11" t="s">
        <v>45</v>
      </c>
      <c r="K169" s="11" t="s">
        <v>46</v>
      </c>
      <c r="L169" s="11" t="s">
        <v>47</v>
      </c>
      <c r="M169" s="11" t="s">
        <v>48</v>
      </c>
      <c r="N169" s="11" t="s">
        <v>49</v>
      </c>
      <c r="O169" s="11" t="s">
        <v>50</v>
      </c>
      <c r="P169" s="11" t="s">
        <v>51</v>
      </c>
      <c r="Q169" s="11" t="s">
        <v>52</v>
      </c>
      <c r="R169" s="11" t="s">
        <v>53</v>
      </c>
      <c r="S169" s="11" t="s">
        <v>54</v>
      </c>
      <c r="T169" s="11" t="s">
        <v>55</v>
      </c>
      <c r="U169" s="11" t="s">
        <v>56</v>
      </c>
      <c r="V169" s="11" t="s">
        <v>57</v>
      </c>
      <c r="W169" s="11" t="s">
        <v>58</v>
      </c>
      <c r="X169" s="11" t="s">
        <v>59</v>
      </c>
      <c r="Y169" s="11" t="s">
        <v>60</v>
      </c>
      <c r="Z169" s="11" t="s">
        <v>61</v>
      </c>
      <c r="AA169" s="11" t="s">
        <v>62</v>
      </c>
      <c r="AB169" s="11" t="s">
        <v>63</v>
      </c>
      <c r="AC169" s="11" t="s">
        <v>64</v>
      </c>
      <c r="AD169" s="11" t="s">
        <v>65</v>
      </c>
      <c r="AE169" s="11" t="s">
        <v>66</v>
      </c>
      <c r="AF169" s="11" t="s">
        <v>67</v>
      </c>
      <c r="AG169" s="11" t="s">
        <v>68</v>
      </c>
      <c r="AH169" s="11" t="s">
        <v>69</v>
      </c>
      <c r="AI169" s="11" t="s">
        <v>70</v>
      </c>
      <c r="AJ169" s="11" t="s">
        <v>71</v>
      </c>
      <c r="AK169" s="11" t="s">
        <v>72</v>
      </c>
      <c r="AL169" s="11" t="s">
        <v>73</v>
      </c>
      <c r="AM169" s="11" t="s">
        <v>74</v>
      </c>
      <c r="AN169" s="25"/>
      <c r="AO169" s="25"/>
    </row>
    <row r="170" spans="2:41" x14ac:dyDescent="0.2">
      <c r="B170" s="22" t="str">
        <f>'Wzorzec kategorii'!B132</f>
        <v>Siłownia / Basen</v>
      </c>
      <c r="C170" s="19">
        <v>0</v>
      </c>
      <c r="D170" s="20">
        <f>SUM(Tabela2649183[#This Row])</f>
        <v>0</v>
      </c>
      <c r="E170" s="20">
        <f t="shared" ref="E170:E179" si="19">C170-D170</f>
        <v>0</v>
      </c>
      <c r="F170" s="21" t="str">
        <f t="shared" ref="F170:F179" si="20">IFERROR(D170/C170,"")</f>
        <v/>
      </c>
      <c r="G170" s="24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25"/>
      <c r="AO170" s="25"/>
    </row>
    <row r="171" spans="2:41" x14ac:dyDescent="0.2">
      <c r="B171" s="22" t="str">
        <f>'Wzorzec kategorii'!B133</f>
        <v>Kino / Teatr</v>
      </c>
      <c r="C171" s="19">
        <v>0</v>
      </c>
      <c r="D171" s="20">
        <f>SUM(Tabela2649183[#This Row])</f>
        <v>0</v>
      </c>
      <c r="E171" s="20">
        <f t="shared" si="19"/>
        <v>0</v>
      </c>
      <c r="F171" s="21" t="str">
        <f t="shared" si="20"/>
        <v/>
      </c>
      <c r="G171" s="24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25"/>
      <c r="AO171" s="25"/>
    </row>
    <row r="172" spans="2:41" x14ac:dyDescent="0.2">
      <c r="B172" s="22" t="str">
        <f>'Wzorzec kategorii'!B134</f>
        <v>Koncerty</v>
      </c>
      <c r="C172" s="19">
        <v>0</v>
      </c>
      <c r="D172" s="20">
        <f>SUM(Tabela2649183[#This Row])</f>
        <v>0</v>
      </c>
      <c r="E172" s="20">
        <f t="shared" si="19"/>
        <v>0</v>
      </c>
      <c r="F172" s="21" t="str">
        <f t="shared" si="20"/>
        <v/>
      </c>
      <c r="G172" s="24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25"/>
      <c r="AO172" s="25"/>
    </row>
    <row r="173" spans="2:41" x14ac:dyDescent="0.2">
      <c r="B173" s="22" t="str">
        <f>'Wzorzec kategorii'!B135</f>
        <v>Czasopisma</v>
      </c>
      <c r="C173" s="19">
        <v>0</v>
      </c>
      <c r="D173" s="20">
        <f>SUM(Tabela2649183[#This Row])</f>
        <v>0</v>
      </c>
      <c r="E173" s="20">
        <f t="shared" si="19"/>
        <v>0</v>
      </c>
      <c r="F173" s="21" t="str">
        <f t="shared" si="20"/>
        <v/>
      </c>
      <c r="G173" s="24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25"/>
      <c r="AO173" s="25"/>
    </row>
    <row r="174" spans="2:41" x14ac:dyDescent="0.2">
      <c r="B174" s="22" t="str">
        <f>'Wzorzec kategorii'!B136</f>
        <v>Książki</v>
      </c>
      <c r="C174" s="19">
        <v>0</v>
      </c>
      <c r="D174" s="20">
        <f>SUM(Tabela2649183[#This Row])</f>
        <v>0</v>
      </c>
      <c r="E174" s="20">
        <f t="shared" si="19"/>
        <v>0</v>
      </c>
      <c r="F174" s="21" t="str">
        <f t="shared" si="20"/>
        <v/>
      </c>
      <c r="G174" s="24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25"/>
      <c r="AO174" s="25"/>
    </row>
    <row r="175" spans="2:41" x14ac:dyDescent="0.2">
      <c r="B175" s="22" t="str">
        <f>'Wzorzec kategorii'!B137</f>
        <v>Hobby</v>
      </c>
      <c r="C175" s="19">
        <v>0</v>
      </c>
      <c r="D175" s="20">
        <f>SUM(Tabela2649183[#This Row])</f>
        <v>0</v>
      </c>
      <c r="E175" s="20">
        <f t="shared" si="19"/>
        <v>0</v>
      </c>
      <c r="F175" s="21" t="str">
        <f t="shared" si="20"/>
        <v/>
      </c>
      <c r="G175" s="24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25"/>
      <c r="AO175" s="25"/>
    </row>
    <row r="176" spans="2:41" x14ac:dyDescent="0.2">
      <c r="B176" s="22" t="str">
        <f>'Wzorzec kategorii'!B138</f>
        <v>Hotel / Turystyka</v>
      </c>
      <c r="C176" s="19">
        <v>0</v>
      </c>
      <c r="D176" s="20">
        <f>SUM(Tabela2649183[#This Row])</f>
        <v>0</v>
      </c>
      <c r="E176" s="20">
        <f t="shared" si="19"/>
        <v>0</v>
      </c>
      <c r="F176" s="21" t="str">
        <f t="shared" si="20"/>
        <v/>
      </c>
      <c r="G176" s="24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25"/>
      <c r="AO176" s="25"/>
    </row>
    <row r="177" spans="2:41" x14ac:dyDescent="0.2">
      <c r="B177" s="22" t="str">
        <f>'Wzorzec kategorii'!B139</f>
        <v>Inne</v>
      </c>
      <c r="C177" s="19">
        <v>0</v>
      </c>
      <c r="D177" s="20">
        <f>SUM(Tabela2649183[#This Row])</f>
        <v>0</v>
      </c>
      <c r="E177" s="20">
        <f t="shared" si="19"/>
        <v>0</v>
      </c>
      <c r="F177" s="21" t="str">
        <f t="shared" si="20"/>
        <v/>
      </c>
      <c r="G177" s="24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25"/>
      <c r="AO177" s="25"/>
    </row>
    <row r="178" spans="2:41" x14ac:dyDescent="0.2">
      <c r="B178" s="22" t="str">
        <f>'Wzorzec kategorii'!B140</f>
        <v>.</v>
      </c>
      <c r="C178" s="19">
        <v>0</v>
      </c>
      <c r="D178" s="20">
        <f>SUM(Tabela2649183[#This Row])</f>
        <v>0</v>
      </c>
      <c r="E178" s="20">
        <f t="shared" si="19"/>
        <v>0</v>
      </c>
      <c r="F178" s="53" t="str">
        <f t="shared" si="20"/>
        <v/>
      </c>
      <c r="G178" s="54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25"/>
      <c r="AO178" s="25"/>
    </row>
    <row r="179" spans="2:41" x14ac:dyDescent="0.2">
      <c r="B179" s="22" t="str">
        <f>'Wzorzec kategorii'!B141</f>
        <v>.</v>
      </c>
      <c r="C179" s="19">
        <v>0</v>
      </c>
      <c r="D179" s="20">
        <f>SUM(Tabela2649183[#This Row])</f>
        <v>0</v>
      </c>
      <c r="E179" s="20">
        <f t="shared" si="19"/>
        <v>0</v>
      </c>
      <c r="F179" s="53" t="str">
        <f t="shared" si="20"/>
        <v/>
      </c>
      <c r="G179" s="54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25"/>
      <c r="AO179" s="25"/>
    </row>
    <row r="180" spans="2:41" x14ac:dyDescent="0.2">
      <c r="B180" s="5" t="s">
        <v>30</v>
      </c>
      <c r="AN180" s="25"/>
      <c r="AO180" s="25"/>
    </row>
    <row r="181" spans="2:41" x14ac:dyDescent="0.2">
      <c r="B181" s="2" t="str">
        <f>'Wzorzec kategorii'!B143</f>
        <v>Inne wydatki</v>
      </c>
      <c r="C181" s="3">
        <f>SUM(Tabela1438172[[#All],[Kolumna2]])</f>
        <v>0</v>
      </c>
      <c r="D181" s="16">
        <f>SUM(Tabela1438172[[#All],[Kolumna3]])</f>
        <v>0</v>
      </c>
      <c r="E181" s="3">
        <f>C181-D181</f>
        <v>0</v>
      </c>
      <c r="F181" s="17" t="str">
        <f>IFERROR(D181/C181,"")</f>
        <v/>
      </c>
      <c r="G181" s="3"/>
      <c r="I181" s="11" t="s">
        <v>44</v>
      </c>
      <c r="J181" s="11" t="s">
        <v>45</v>
      </c>
      <c r="K181" s="11" t="s">
        <v>46</v>
      </c>
      <c r="L181" s="11" t="s">
        <v>47</v>
      </c>
      <c r="M181" s="11" t="s">
        <v>48</v>
      </c>
      <c r="N181" s="11" t="s">
        <v>49</v>
      </c>
      <c r="O181" s="11" t="s">
        <v>50</v>
      </c>
      <c r="P181" s="11" t="s">
        <v>51</v>
      </c>
      <c r="Q181" s="11" t="s">
        <v>52</v>
      </c>
      <c r="R181" s="11" t="s">
        <v>53</v>
      </c>
      <c r="S181" s="11" t="s">
        <v>54</v>
      </c>
      <c r="T181" s="11" t="s">
        <v>55</v>
      </c>
      <c r="U181" s="11" t="s">
        <v>56</v>
      </c>
      <c r="V181" s="11" t="s">
        <v>57</v>
      </c>
      <c r="W181" s="11" t="s">
        <v>58</v>
      </c>
      <c r="X181" s="11" t="s">
        <v>59</v>
      </c>
      <c r="Y181" s="11" t="s">
        <v>60</v>
      </c>
      <c r="Z181" s="11" t="s">
        <v>61</v>
      </c>
      <c r="AA181" s="11" t="s">
        <v>62</v>
      </c>
      <c r="AB181" s="11" t="s">
        <v>63</v>
      </c>
      <c r="AC181" s="11" t="s">
        <v>64</v>
      </c>
      <c r="AD181" s="11" t="s">
        <v>65</v>
      </c>
      <c r="AE181" s="11" t="s">
        <v>66</v>
      </c>
      <c r="AF181" s="11" t="s">
        <v>67</v>
      </c>
      <c r="AG181" s="11" t="s">
        <v>68</v>
      </c>
      <c r="AH181" s="11" t="s">
        <v>69</v>
      </c>
      <c r="AI181" s="11" t="s">
        <v>70</v>
      </c>
      <c r="AJ181" s="11" t="s">
        <v>71</v>
      </c>
      <c r="AK181" s="11" t="s">
        <v>72</v>
      </c>
      <c r="AL181" s="11" t="s">
        <v>73</v>
      </c>
      <c r="AM181" s="11" t="s">
        <v>74</v>
      </c>
      <c r="AN181" s="25"/>
      <c r="AO181" s="25"/>
    </row>
    <row r="182" spans="2:41" x14ac:dyDescent="0.2">
      <c r="B182" s="22" t="str">
        <f>'Wzorzec kategorii'!B144</f>
        <v>Dobroczynność</v>
      </c>
      <c r="C182" s="19">
        <v>0</v>
      </c>
      <c r="D182" s="20">
        <f>SUM(Tabela2750184[#This Row])</f>
        <v>0</v>
      </c>
      <c r="E182" s="20">
        <f t="shared" ref="E182:E191" si="21">C182-D182</f>
        <v>0</v>
      </c>
      <c r="F182" s="21" t="str">
        <f t="shared" ref="F182:F191" si="22">IFERROR(D182/C182,"")</f>
        <v/>
      </c>
      <c r="G182" s="24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25"/>
      <c r="AO182" s="25"/>
    </row>
    <row r="183" spans="2:41" x14ac:dyDescent="0.2">
      <c r="B183" s="22" t="str">
        <f>'Wzorzec kategorii'!B145</f>
        <v>Prezenty</v>
      </c>
      <c r="C183" s="19">
        <v>0</v>
      </c>
      <c r="D183" s="20">
        <f>SUM(Tabela2750184[#This Row])</f>
        <v>0</v>
      </c>
      <c r="E183" s="20">
        <f t="shared" si="21"/>
        <v>0</v>
      </c>
      <c r="F183" s="21" t="str">
        <f t="shared" si="22"/>
        <v/>
      </c>
      <c r="G183" s="24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25"/>
      <c r="AO183" s="25"/>
    </row>
    <row r="184" spans="2:41" x14ac:dyDescent="0.2">
      <c r="B184" s="22" t="str">
        <f>'Wzorzec kategorii'!B146</f>
        <v>Sprzęt RTV</v>
      </c>
      <c r="C184" s="19">
        <v>0</v>
      </c>
      <c r="D184" s="20">
        <f>SUM(Tabela2750184[#This Row])</f>
        <v>0</v>
      </c>
      <c r="E184" s="20">
        <f t="shared" si="21"/>
        <v>0</v>
      </c>
      <c r="F184" s="21" t="str">
        <f t="shared" si="22"/>
        <v/>
      </c>
      <c r="G184" s="24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25"/>
      <c r="AO184" s="25"/>
    </row>
    <row r="185" spans="2:41" x14ac:dyDescent="0.2">
      <c r="B185" s="22" t="str">
        <f>'Wzorzec kategorii'!B147</f>
        <v>Oprogramowanie</v>
      </c>
      <c r="C185" s="19">
        <v>0</v>
      </c>
      <c r="D185" s="20">
        <f>SUM(Tabela2750184[#This Row])</f>
        <v>0</v>
      </c>
      <c r="E185" s="20">
        <f t="shared" si="21"/>
        <v>0</v>
      </c>
      <c r="F185" s="21" t="str">
        <f t="shared" si="22"/>
        <v/>
      </c>
      <c r="G185" s="24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25"/>
      <c r="AO185" s="25"/>
    </row>
    <row r="186" spans="2:41" x14ac:dyDescent="0.2">
      <c r="B186" s="22" t="str">
        <f>'Wzorzec kategorii'!B148</f>
        <v>Edukacja / Szkolenia</v>
      </c>
      <c r="C186" s="19">
        <v>0</v>
      </c>
      <c r="D186" s="20">
        <f>SUM(Tabela2750184[#This Row])</f>
        <v>0</v>
      </c>
      <c r="E186" s="20">
        <f t="shared" si="21"/>
        <v>0</v>
      </c>
      <c r="F186" s="21" t="str">
        <f t="shared" si="22"/>
        <v/>
      </c>
      <c r="G186" s="24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25"/>
      <c r="AO186" s="25"/>
    </row>
    <row r="187" spans="2:41" x14ac:dyDescent="0.2">
      <c r="B187" s="22" t="str">
        <f>'Wzorzec kategorii'!B149</f>
        <v>Usługi inne</v>
      </c>
      <c r="C187" s="19">
        <v>0</v>
      </c>
      <c r="D187" s="20">
        <f>SUM(Tabela2750184[#This Row])</f>
        <v>0</v>
      </c>
      <c r="E187" s="20">
        <f t="shared" si="21"/>
        <v>0</v>
      </c>
      <c r="F187" s="21" t="str">
        <f t="shared" si="22"/>
        <v/>
      </c>
      <c r="G187" s="24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25"/>
      <c r="AO187" s="25"/>
    </row>
    <row r="188" spans="2:41" x14ac:dyDescent="0.2">
      <c r="B188" s="22" t="str">
        <f>'Wzorzec kategorii'!B150</f>
        <v>Podatki</v>
      </c>
      <c r="C188" s="19">
        <v>0</v>
      </c>
      <c r="D188" s="20">
        <f>SUM(Tabela2750184[#This Row])</f>
        <v>0</v>
      </c>
      <c r="E188" s="20">
        <f t="shared" si="21"/>
        <v>0</v>
      </c>
      <c r="F188" s="21" t="str">
        <f t="shared" si="22"/>
        <v/>
      </c>
      <c r="G188" s="24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25"/>
      <c r="AO188" s="25"/>
    </row>
    <row r="189" spans="2:41" x14ac:dyDescent="0.2">
      <c r="B189" s="22" t="str">
        <f>'Wzorzec kategorii'!B151</f>
        <v>Inne</v>
      </c>
      <c r="C189" s="19">
        <v>0</v>
      </c>
      <c r="D189" s="20">
        <f>SUM(Tabela2750184[#This Row])</f>
        <v>0</v>
      </c>
      <c r="E189" s="20">
        <f t="shared" si="21"/>
        <v>0</v>
      </c>
      <c r="F189" s="21" t="str">
        <f t="shared" si="22"/>
        <v/>
      </c>
      <c r="G189" s="24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25"/>
      <c r="AO189" s="25"/>
    </row>
    <row r="190" spans="2:41" x14ac:dyDescent="0.2">
      <c r="B190" s="22" t="str">
        <f>'Wzorzec kategorii'!B152</f>
        <v>.</v>
      </c>
      <c r="C190" s="19">
        <v>0</v>
      </c>
      <c r="D190" s="20">
        <f>SUM(Tabela2750184[#This Row])</f>
        <v>0</v>
      </c>
      <c r="E190" s="20">
        <f t="shared" si="21"/>
        <v>0</v>
      </c>
      <c r="F190" s="53" t="str">
        <f t="shared" si="22"/>
        <v/>
      </c>
      <c r="G190" s="54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25"/>
      <c r="AO190" s="25"/>
    </row>
    <row r="191" spans="2:41" x14ac:dyDescent="0.2">
      <c r="B191" s="22" t="str">
        <f>'Wzorzec kategorii'!B153</f>
        <v>.</v>
      </c>
      <c r="C191" s="19">
        <v>0</v>
      </c>
      <c r="D191" s="20">
        <f>SUM(Tabela2750184[#This Row])</f>
        <v>0</v>
      </c>
      <c r="E191" s="20">
        <f t="shared" si="21"/>
        <v>0</v>
      </c>
      <c r="F191" s="53" t="str">
        <f t="shared" si="22"/>
        <v/>
      </c>
      <c r="G191" s="54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25"/>
      <c r="AO191" s="25"/>
    </row>
    <row r="192" spans="2:41" x14ac:dyDescent="0.2">
      <c r="B192" s="5" t="s">
        <v>30</v>
      </c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</row>
    <row r="193" spans="2:41" x14ac:dyDescent="0.2">
      <c r="B193" s="2" t="str">
        <f>'Wzorzec kategorii'!B155</f>
        <v>Spłata długów</v>
      </c>
      <c r="C193" s="3">
        <f>SUM(Tabela1539173[[#All],[Kolumna2]])</f>
        <v>0</v>
      </c>
      <c r="D193" s="16">
        <f>SUM(Tabela1539173[[#All],[Kolumna3]])</f>
        <v>0</v>
      </c>
      <c r="E193" s="3">
        <f>C193-D193</f>
        <v>0</v>
      </c>
      <c r="F193" s="17" t="str">
        <f>IFERROR(D193/C193,"")</f>
        <v/>
      </c>
      <c r="G193" s="3"/>
      <c r="I193" s="11" t="s">
        <v>44</v>
      </c>
      <c r="J193" s="11" t="s">
        <v>45</v>
      </c>
      <c r="K193" s="11" t="s">
        <v>46</v>
      </c>
      <c r="L193" s="11" t="s">
        <v>47</v>
      </c>
      <c r="M193" s="11" t="s">
        <v>48</v>
      </c>
      <c r="N193" s="11" t="s">
        <v>49</v>
      </c>
      <c r="O193" s="11" t="s">
        <v>50</v>
      </c>
      <c r="P193" s="11" t="s">
        <v>51</v>
      </c>
      <c r="Q193" s="11" t="s">
        <v>52</v>
      </c>
      <c r="R193" s="11" t="s">
        <v>53</v>
      </c>
      <c r="S193" s="11" t="s">
        <v>54</v>
      </c>
      <c r="T193" s="11" t="s">
        <v>55</v>
      </c>
      <c r="U193" s="11" t="s">
        <v>56</v>
      </c>
      <c r="V193" s="11" t="s">
        <v>57</v>
      </c>
      <c r="W193" s="11" t="s">
        <v>58</v>
      </c>
      <c r="X193" s="11" t="s">
        <v>59</v>
      </c>
      <c r="Y193" s="11" t="s">
        <v>60</v>
      </c>
      <c r="Z193" s="11" t="s">
        <v>61</v>
      </c>
      <c r="AA193" s="11" t="s">
        <v>62</v>
      </c>
      <c r="AB193" s="11" t="s">
        <v>63</v>
      </c>
      <c r="AC193" s="11" t="s">
        <v>64</v>
      </c>
      <c r="AD193" s="11" t="s">
        <v>65</v>
      </c>
      <c r="AE193" s="11" t="s">
        <v>66</v>
      </c>
      <c r="AF193" s="11" t="s">
        <v>67</v>
      </c>
      <c r="AG193" s="11" t="s">
        <v>68</v>
      </c>
      <c r="AH193" s="11" t="s">
        <v>69</v>
      </c>
      <c r="AI193" s="11" t="s">
        <v>70</v>
      </c>
      <c r="AJ193" s="11" t="s">
        <v>71</v>
      </c>
      <c r="AK193" s="11" t="s">
        <v>72</v>
      </c>
      <c r="AL193" s="11" t="s">
        <v>73</v>
      </c>
      <c r="AM193" s="11" t="s">
        <v>74</v>
      </c>
      <c r="AN193" s="25"/>
      <c r="AO193" s="25"/>
    </row>
    <row r="194" spans="2:41" x14ac:dyDescent="0.2">
      <c r="B194" s="22" t="str">
        <f>'Wzorzec kategorii'!B156</f>
        <v>Kredyt hipoteczny</v>
      </c>
      <c r="C194" s="19">
        <v>0</v>
      </c>
      <c r="D194" s="20">
        <f>SUM(Tabela2851185[#This Row])</f>
        <v>0</v>
      </c>
      <c r="E194" s="20">
        <f t="shared" ref="E194:E203" si="23">C194-D194</f>
        <v>0</v>
      </c>
      <c r="F194" s="21" t="str">
        <f t="shared" ref="F194:F203" si="24">IFERROR(D194/C194,"")</f>
        <v/>
      </c>
      <c r="G194" s="24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25"/>
      <c r="AO194" s="25"/>
    </row>
    <row r="195" spans="2:41" x14ac:dyDescent="0.2">
      <c r="B195" s="22" t="str">
        <f>'Wzorzec kategorii'!B157</f>
        <v>Kredyt konsumpcyjny</v>
      </c>
      <c r="C195" s="19">
        <v>0</v>
      </c>
      <c r="D195" s="20">
        <f>SUM(Tabela2851185[#This Row])</f>
        <v>0</v>
      </c>
      <c r="E195" s="20">
        <f t="shared" si="23"/>
        <v>0</v>
      </c>
      <c r="F195" s="21" t="str">
        <f t="shared" si="24"/>
        <v/>
      </c>
      <c r="G195" s="24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25"/>
      <c r="AO195" s="25"/>
    </row>
    <row r="196" spans="2:41" x14ac:dyDescent="0.2">
      <c r="B196" s="22" t="str">
        <f>'Wzorzec kategorii'!B158</f>
        <v>Pożyczka osobista</v>
      </c>
      <c r="C196" s="19">
        <v>0</v>
      </c>
      <c r="D196" s="20">
        <f>SUM(Tabela2851185[#This Row])</f>
        <v>0</v>
      </c>
      <c r="E196" s="20">
        <f t="shared" si="23"/>
        <v>0</v>
      </c>
      <c r="F196" s="21" t="str">
        <f t="shared" si="24"/>
        <v/>
      </c>
      <c r="G196" s="24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25"/>
      <c r="AO196" s="25"/>
    </row>
    <row r="197" spans="2:41" x14ac:dyDescent="0.2">
      <c r="B197" s="22" t="str">
        <f>'Wzorzec kategorii'!B159</f>
        <v>Inne</v>
      </c>
      <c r="C197" s="19">
        <v>0</v>
      </c>
      <c r="D197" s="20">
        <f>SUM(Tabela2851185[#This Row])</f>
        <v>0</v>
      </c>
      <c r="E197" s="20">
        <f t="shared" si="23"/>
        <v>0</v>
      </c>
      <c r="F197" s="21" t="str">
        <f t="shared" si="24"/>
        <v/>
      </c>
      <c r="G197" s="24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25"/>
      <c r="AO197" s="25"/>
    </row>
    <row r="198" spans="2:41" x14ac:dyDescent="0.2">
      <c r="B198" s="22" t="str">
        <f>'Wzorzec kategorii'!B160</f>
        <v>.</v>
      </c>
      <c r="C198" s="19">
        <v>0</v>
      </c>
      <c r="D198" s="20">
        <f>SUM(Tabela2851185[#This Row])</f>
        <v>0</v>
      </c>
      <c r="E198" s="20">
        <f t="shared" si="23"/>
        <v>0</v>
      </c>
      <c r="F198" s="21" t="str">
        <f t="shared" si="24"/>
        <v/>
      </c>
      <c r="G198" s="24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25"/>
      <c r="AO198" s="25"/>
    </row>
    <row r="199" spans="2:41" x14ac:dyDescent="0.2">
      <c r="B199" s="22" t="str">
        <f>'Wzorzec kategorii'!B161</f>
        <v>.</v>
      </c>
      <c r="C199" s="19">
        <v>0</v>
      </c>
      <c r="D199" s="20">
        <f>SUM(Tabela2851185[#This Row])</f>
        <v>0</v>
      </c>
      <c r="E199" s="20">
        <f t="shared" si="23"/>
        <v>0</v>
      </c>
      <c r="F199" s="21" t="str">
        <f t="shared" si="24"/>
        <v/>
      </c>
      <c r="G199" s="24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25"/>
      <c r="AO199" s="25"/>
    </row>
    <row r="200" spans="2:41" x14ac:dyDescent="0.2">
      <c r="B200" s="22" t="str">
        <f>'Wzorzec kategorii'!B162</f>
        <v>.</v>
      </c>
      <c r="C200" s="19">
        <v>0</v>
      </c>
      <c r="D200" s="20">
        <f>SUM(Tabela2851185[#This Row])</f>
        <v>0</v>
      </c>
      <c r="E200" s="20">
        <f t="shared" si="23"/>
        <v>0</v>
      </c>
      <c r="F200" s="53" t="str">
        <f t="shared" si="24"/>
        <v/>
      </c>
      <c r="G200" s="54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25"/>
      <c r="AO200" s="25"/>
    </row>
    <row r="201" spans="2:41" x14ac:dyDescent="0.2">
      <c r="B201" s="22" t="str">
        <f>'Wzorzec kategorii'!B163</f>
        <v>.</v>
      </c>
      <c r="C201" s="19">
        <v>0</v>
      </c>
      <c r="D201" s="20">
        <f>SUM(Tabela2851185[#This Row])</f>
        <v>0</v>
      </c>
      <c r="E201" s="20">
        <f t="shared" si="23"/>
        <v>0</v>
      </c>
      <c r="F201" s="53" t="str">
        <f t="shared" si="24"/>
        <v/>
      </c>
      <c r="G201" s="54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25"/>
      <c r="AO201" s="25"/>
    </row>
    <row r="202" spans="2:41" x14ac:dyDescent="0.2">
      <c r="B202" s="22" t="str">
        <f>'Wzorzec kategorii'!B164</f>
        <v>.</v>
      </c>
      <c r="C202" s="19">
        <v>0</v>
      </c>
      <c r="D202" s="20">
        <f>SUM(Tabela2851185[#This Row])</f>
        <v>0</v>
      </c>
      <c r="E202" s="20">
        <f t="shared" si="23"/>
        <v>0</v>
      </c>
      <c r="F202" s="53" t="str">
        <f t="shared" si="24"/>
        <v/>
      </c>
      <c r="G202" s="54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25"/>
      <c r="AO202" s="25"/>
    </row>
    <row r="203" spans="2:41" x14ac:dyDescent="0.2">
      <c r="B203" s="22" t="str">
        <f>'Wzorzec kategorii'!B165</f>
        <v>.</v>
      </c>
      <c r="C203" s="19">
        <v>0</v>
      </c>
      <c r="D203" s="20">
        <f>SUM(Tabela2851185[#This Row])</f>
        <v>0</v>
      </c>
      <c r="E203" s="20">
        <f t="shared" si="23"/>
        <v>0</v>
      </c>
      <c r="F203" s="53" t="str">
        <f t="shared" si="24"/>
        <v/>
      </c>
      <c r="G203" s="54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25"/>
      <c r="AO203" s="25"/>
    </row>
    <row r="204" spans="2:41" x14ac:dyDescent="0.2">
      <c r="B204" s="5" t="s">
        <v>30</v>
      </c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</row>
    <row r="205" spans="2:41" x14ac:dyDescent="0.2">
      <c r="B205" s="2" t="str">
        <f>'Wzorzec kategorii'!B167</f>
        <v>Budowanie oszczędności</v>
      </c>
      <c r="C205" s="3">
        <f>SUM(Tabela1640174[[#All],[Kolumna2]])</f>
        <v>0</v>
      </c>
      <c r="D205" s="16">
        <f>SUM(Tabela1640174[[#All],[Kolumna3]])</f>
        <v>0</v>
      </c>
      <c r="E205" s="3">
        <f>C205-D205</f>
        <v>0</v>
      </c>
      <c r="F205" s="17" t="str">
        <f>IFERROR(D205/C205,"")</f>
        <v/>
      </c>
      <c r="G205" s="3"/>
      <c r="I205" s="11" t="s">
        <v>44</v>
      </c>
      <c r="J205" s="11" t="s">
        <v>45</v>
      </c>
      <c r="K205" s="11" t="s">
        <v>46</v>
      </c>
      <c r="L205" s="11" t="s">
        <v>47</v>
      </c>
      <c r="M205" s="11" t="s">
        <v>48</v>
      </c>
      <c r="N205" s="11" t="s">
        <v>49</v>
      </c>
      <c r="O205" s="11" t="s">
        <v>50</v>
      </c>
      <c r="P205" s="11" t="s">
        <v>51</v>
      </c>
      <c r="Q205" s="11" t="s">
        <v>52</v>
      </c>
      <c r="R205" s="11" t="s">
        <v>53</v>
      </c>
      <c r="S205" s="11" t="s">
        <v>54</v>
      </c>
      <c r="T205" s="11" t="s">
        <v>55</v>
      </c>
      <c r="U205" s="11" t="s">
        <v>56</v>
      </c>
      <c r="V205" s="11" t="s">
        <v>57</v>
      </c>
      <c r="W205" s="11" t="s">
        <v>58</v>
      </c>
      <c r="X205" s="11" t="s">
        <v>59</v>
      </c>
      <c r="Y205" s="11" t="s">
        <v>60</v>
      </c>
      <c r="Z205" s="11" t="s">
        <v>61</v>
      </c>
      <c r="AA205" s="11" t="s">
        <v>62</v>
      </c>
      <c r="AB205" s="11" t="s">
        <v>63</v>
      </c>
      <c r="AC205" s="11" t="s">
        <v>64</v>
      </c>
      <c r="AD205" s="11" t="s">
        <v>65</v>
      </c>
      <c r="AE205" s="11" t="s">
        <v>66</v>
      </c>
      <c r="AF205" s="11" t="s">
        <v>67</v>
      </c>
      <c r="AG205" s="11" t="s">
        <v>68</v>
      </c>
      <c r="AH205" s="11" t="s">
        <v>69</v>
      </c>
      <c r="AI205" s="11" t="s">
        <v>70</v>
      </c>
      <c r="AJ205" s="11" t="s">
        <v>71</v>
      </c>
      <c r="AK205" s="11" t="s">
        <v>72</v>
      </c>
      <c r="AL205" s="11" t="s">
        <v>73</v>
      </c>
      <c r="AM205" s="11" t="s">
        <v>74</v>
      </c>
      <c r="AN205" s="25"/>
      <c r="AO205" s="25"/>
    </row>
    <row r="206" spans="2:41" x14ac:dyDescent="0.2">
      <c r="B206" s="22" t="str">
        <f>'Wzorzec kategorii'!B168</f>
        <v>Fundusz awaryjny</v>
      </c>
      <c r="C206" s="19">
        <v>0</v>
      </c>
      <c r="D206" s="20">
        <f>SUM(Tabela192345179[#This Row])</f>
        <v>0</v>
      </c>
      <c r="E206" s="20">
        <f t="shared" ref="E206:E215" si="25">C206-D206</f>
        <v>0</v>
      </c>
      <c r="F206" s="21" t="str">
        <f t="shared" ref="F206:F215" si="26">IFERROR(D206/C206,"")</f>
        <v/>
      </c>
      <c r="G206" s="24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25"/>
      <c r="AO206" s="25"/>
    </row>
    <row r="207" spans="2:41" ht="30" x14ac:dyDescent="0.2">
      <c r="B207" s="22" t="str">
        <f>'Wzorzec kategorii'!B169</f>
        <v>Fundusz wydatków nieregularnych</v>
      </c>
      <c r="C207" s="19">
        <v>0</v>
      </c>
      <c r="D207" s="20">
        <f>SUM(Tabela192345179[#This Row])</f>
        <v>0</v>
      </c>
      <c r="E207" s="20">
        <f t="shared" si="25"/>
        <v>0</v>
      </c>
      <c r="F207" s="21" t="str">
        <f t="shared" si="26"/>
        <v/>
      </c>
      <c r="G207" s="24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25"/>
      <c r="AO207" s="25"/>
    </row>
    <row r="208" spans="2:41" x14ac:dyDescent="0.2">
      <c r="B208" s="22" t="str">
        <f>'Wzorzec kategorii'!B170</f>
        <v>Poduszka finansowa</v>
      </c>
      <c r="C208" s="19">
        <v>0</v>
      </c>
      <c r="D208" s="20">
        <f>SUM(Tabela192345179[#This Row])</f>
        <v>0</v>
      </c>
      <c r="E208" s="20">
        <f t="shared" si="25"/>
        <v>0</v>
      </c>
      <c r="F208" s="21" t="str">
        <f t="shared" si="26"/>
        <v/>
      </c>
      <c r="G208" s="24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25"/>
      <c r="AO208" s="25"/>
    </row>
    <row r="209" spans="2:41" x14ac:dyDescent="0.2">
      <c r="B209" s="22" t="str">
        <f>'Wzorzec kategorii'!B171</f>
        <v>Konto emerytalne IKE/IKZE</v>
      </c>
      <c r="C209" s="19">
        <v>0</v>
      </c>
      <c r="D209" s="20">
        <f>SUM(Tabela192345179[#This Row])</f>
        <v>0</v>
      </c>
      <c r="E209" s="20">
        <f t="shared" si="25"/>
        <v>0</v>
      </c>
      <c r="F209" s="21" t="str">
        <f t="shared" si="26"/>
        <v/>
      </c>
      <c r="G209" s="24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25"/>
      <c r="AO209" s="25"/>
    </row>
    <row r="210" spans="2:41" x14ac:dyDescent="0.2">
      <c r="B210" s="22" t="str">
        <f>'Wzorzec kategorii'!B172</f>
        <v>Nadpłata długów</v>
      </c>
      <c r="C210" s="19">
        <v>0</v>
      </c>
      <c r="D210" s="20">
        <f>SUM(Tabela192345179[#This Row])</f>
        <v>0</v>
      </c>
      <c r="E210" s="20">
        <f t="shared" si="25"/>
        <v>0</v>
      </c>
      <c r="F210" s="21" t="str">
        <f t="shared" si="26"/>
        <v/>
      </c>
      <c r="G210" s="24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25"/>
      <c r="AO210" s="25"/>
    </row>
    <row r="211" spans="2:41" x14ac:dyDescent="0.2">
      <c r="B211" s="22" t="str">
        <f>'Wzorzec kategorii'!B173</f>
        <v>Fundusz: wakacje</v>
      </c>
      <c r="C211" s="19">
        <v>0</v>
      </c>
      <c r="D211" s="20">
        <f>SUM(Tabela192345179[#This Row])</f>
        <v>0</v>
      </c>
      <c r="E211" s="20">
        <f t="shared" si="25"/>
        <v>0</v>
      </c>
      <c r="F211" s="21" t="str">
        <f t="shared" si="26"/>
        <v/>
      </c>
      <c r="G211" s="24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25"/>
      <c r="AO211" s="25"/>
    </row>
    <row r="212" spans="2:41" x14ac:dyDescent="0.2">
      <c r="B212" s="22" t="str">
        <f>'Wzorzec kategorii'!B174</f>
        <v>Fundusz: prezenty świąteczne</v>
      </c>
      <c r="C212" s="19">
        <v>0</v>
      </c>
      <c r="D212" s="20">
        <f>SUM(Tabela192345179[#This Row])</f>
        <v>0</v>
      </c>
      <c r="E212" s="20">
        <f t="shared" si="25"/>
        <v>0</v>
      </c>
      <c r="F212" s="21" t="str">
        <f t="shared" si="26"/>
        <v/>
      </c>
      <c r="G212" s="24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25"/>
      <c r="AO212" s="25"/>
    </row>
    <row r="213" spans="2:41" x14ac:dyDescent="0.2">
      <c r="B213" s="22" t="str">
        <f>'Wzorzec kategorii'!B175</f>
        <v>Inne</v>
      </c>
      <c r="C213" s="19">
        <v>0</v>
      </c>
      <c r="D213" s="20">
        <f>SUM(Tabela192345179[#This Row])</f>
        <v>0</v>
      </c>
      <c r="E213" s="20">
        <f t="shared" si="25"/>
        <v>0</v>
      </c>
      <c r="F213" s="21" t="str">
        <f t="shared" si="26"/>
        <v/>
      </c>
      <c r="G213" s="24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25"/>
      <c r="AO213" s="25"/>
    </row>
    <row r="214" spans="2:41" x14ac:dyDescent="0.2">
      <c r="B214" s="22" t="str">
        <f>'Wzorzec kategorii'!B176</f>
        <v>.</v>
      </c>
      <c r="C214" s="19">
        <v>0</v>
      </c>
      <c r="D214" s="20">
        <f>SUM(Tabela192345179[#This Row])</f>
        <v>0</v>
      </c>
      <c r="E214" s="20">
        <f t="shared" si="25"/>
        <v>0</v>
      </c>
      <c r="F214" s="53" t="str">
        <f t="shared" si="26"/>
        <v/>
      </c>
      <c r="G214" s="54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25"/>
      <c r="AO214" s="25"/>
    </row>
    <row r="215" spans="2:41" x14ac:dyDescent="0.2">
      <c r="B215" s="22" t="str">
        <f>'Wzorzec kategorii'!B177</f>
        <v>.</v>
      </c>
      <c r="C215" s="19">
        <v>0</v>
      </c>
      <c r="D215" s="20">
        <f>SUM(Tabela192345179[#This Row])</f>
        <v>0</v>
      </c>
      <c r="E215" s="20">
        <f t="shared" si="25"/>
        <v>0</v>
      </c>
      <c r="F215" s="53" t="str">
        <f t="shared" si="26"/>
        <v/>
      </c>
      <c r="G215" s="54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25"/>
      <c r="AO215" s="25"/>
    </row>
    <row r="216" spans="2:41" x14ac:dyDescent="0.2"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</row>
    <row r="217" spans="2:41" x14ac:dyDescent="0.2">
      <c r="B217" s="2" t="str">
        <f>'Wzorzec kategorii'!B179</f>
        <v>INNE 1</v>
      </c>
      <c r="C217" s="3">
        <f>SUM(Tabela164058186[[#All],[Kolumna2]])</f>
        <v>0</v>
      </c>
      <c r="D217" s="16">
        <f>SUM(Tabela164058186[[#All],[Kolumna3]])</f>
        <v>0</v>
      </c>
      <c r="E217" s="3">
        <f>C217-D217</f>
        <v>0</v>
      </c>
      <c r="F217" s="17" t="str">
        <f>IFERROR(D217/C217,"")</f>
        <v/>
      </c>
      <c r="G217" s="3"/>
      <c r="I217" s="11" t="s">
        <v>44</v>
      </c>
      <c r="J217" s="11" t="s">
        <v>45</v>
      </c>
      <c r="K217" s="11" t="s">
        <v>46</v>
      </c>
      <c r="L217" s="11" t="s">
        <v>47</v>
      </c>
      <c r="M217" s="11" t="s">
        <v>48</v>
      </c>
      <c r="N217" s="11" t="s">
        <v>49</v>
      </c>
      <c r="O217" s="11" t="s">
        <v>50</v>
      </c>
      <c r="P217" s="11" t="s">
        <v>51</v>
      </c>
      <c r="Q217" s="11" t="s">
        <v>52</v>
      </c>
      <c r="R217" s="11" t="s">
        <v>53</v>
      </c>
      <c r="S217" s="11" t="s">
        <v>54</v>
      </c>
      <c r="T217" s="11" t="s">
        <v>55</v>
      </c>
      <c r="U217" s="11" t="s">
        <v>56</v>
      </c>
      <c r="V217" s="11" t="s">
        <v>57</v>
      </c>
      <c r="W217" s="11" t="s">
        <v>58</v>
      </c>
      <c r="X217" s="11" t="s">
        <v>59</v>
      </c>
      <c r="Y217" s="11" t="s">
        <v>60</v>
      </c>
      <c r="Z217" s="11" t="s">
        <v>61</v>
      </c>
      <c r="AA217" s="11" t="s">
        <v>62</v>
      </c>
      <c r="AB217" s="11" t="s">
        <v>63</v>
      </c>
      <c r="AC217" s="11" t="s">
        <v>64</v>
      </c>
      <c r="AD217" s="11" t="s">
        <v>65</v>
      </c>
      <c r="AE217" s="11" t="s">
        <v>66</v>
      </c>
      <c r="AF217" s="11" t="s">
        <v>67</v>
      </c>
      <c r="AG217" s="11" t="s">
        <v>68</v>
      </c>
      <c r="AH217" s="11" t="s">
        <v>69</v>
      </c>
      <c r="AI217" s="11" t="s">
        <v>70</v>
      </c>
      <c r="AJ217" s="11" t="s">
        <v>71</v>
      </c>
      <c r="AK217" s="11" t="s">
        <v>72</v>
      </c>
      <c r="AL217" s="11" t="s">
        <v>73</v>
      </c>
      <c r="AM217" s="11" t="s">
        <v>74</v>
      </c>
    </row>
    <row r="218" spans="2:41" x14ac:dyDescent="0.2">
      <c r="B218" s="22" t="str">
        <f>'Wzorzec kategorii'!B180</f>
        <v>.</v>
      </c>
      <c r="C218" s="19">
        <v>0</v>
      </c>
      <c r="D218" s="20">
        <f>SUM(Tabela19234559187[#This Row])</f>
        <v>0</v>
      </c>
      <c r="E218" s="20">
        <f t="shared" ref="E218:E227" si="27">C218-D218</f>
        <v>0</v>
      </c>
      <c r="F218" s="21" t="str">
        <f t="shared" ref="F218:F227" si="28">IFERROR(D218/C218,"")</f>
        <v/>
      </c>
      <c r="G218" s="24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2:41" x14ac:dyDescent="0.2">
      <c r="B219" s="22" t="str">
        <f>'Wzorzec kategorii'!B181</f>
        <v>.</v>
      </c>
      <c r="C219" s="19">
        <v>0</v>
      </c>
      <c r="D219" s="20">
        <f>SUM(Tabela19234559187[#This Row])</f>
        <v>0</v>
      </c>
      <c r="E219" s="20">
        <f t="shared" si="27"/>
        <v>0</v>
      </c>
      <c r="F219" s="21" t="str">
        <f t="shared" si="28"/>
        <v/>
      </c>
      <c r="G219" s="24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 spans="2:41" x14ac:dyDescent="0.2">
      <c r="B220" s="22" t="str">
        <f>'Wzorzec kategorii'!B182</f>
        <v>.</v>
      </c>
      <c r="C220" s="19">
        <v>0</v>
      </c>
      <c r="D220" s="20">
        <f>SUM(Tabela19234559187[#This Row])</f>
        <v>0</v>
      </c>
      <c r="E220" s="20">
        <f t="shared" si="27"/>
        <v>0</v>
      </c>
      <c r="F220" s="21" t="str">
        <f t="shared" si="28"/>
        <v/>
      </c>
      <c r="G220" s="24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 spans="2:41" x14ac:dyDescent="0.2">
      <c r="B221" s="22" t="str">
        <f>'Wzorzec kategorii'!B183</f>
        <v>.</v>
      </c>
      <c r="C221" s="19">
        <v>0</v>
      </c>
      <c r="D221" s="20">
        <f>SUM(Tabela19234559187[#This Row])</f>
        <v>0</v>
      </c>
      <c r="E221" s="20">
        <f t="shared" si="27"/>
        <v>0</v>
      </c>
      <c r="F221" s="21" t="str">
        <f t="shared" si="28"/>
        <v/>
      </c>
      <c r="G221" s="24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 spans="2:41" x14ac:dyDescent="0.2">
      <c r="B222" s="22" t="str">
        <f>'Wzorzec kategorii'!B184</f>
        <v>.</v>
      </c>
      <c r="C222" s="19">
        <v>0</v>
      </c>
      <c r="D222" s="20">
        <f>SUM(Tabela19234559187[#This Row])</f>
        <v>0</v>
      </c>
      <c r="E222" s="20">
        <f t="shared" si="27"/>
        <v>0</v>
      </c>
      <c r="F222" s="21" t="str">
        <f t="shared" si="28"/>
        <v/>
      </c>
      <c r="G222" s="24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</row>
    <row r="223" spans="2:41" x14ac:dyDescent="0.2">
      <c r="B223" s="22" t="str">
        <f>'Wzorzec kategorii'!B185</f>
        <v>.</v>
      </c>
      <c r="C223" s="19">
        <v>0</v>
      </c>
      <c r="D223" s="20">
        <f>SUM(Tabela19234559187[#This Row])</f>
        <v>0</v>
      </c>
      <c r="E223" s="20">
        <f t="shared" si="27"/>
        <v>0</v>
      </c>
      <c r="F223" s="21" t="str">
        <f t="shared" si="28"/>
        <v/>
      </c>
      <c r="G223" s="24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</row>
    <row r="224" spans="2:41" x14ac:dyDescent="0.2">
      <c r="B224" s="22" t="str">
        <f>'Wzorzec kategorii'!B186</f>
        <v>.</v>
      </c>
      <c r="C224" s="19">
        <v>0</v>
      </c>
      <c r="D224" s="20">
        <f>SUM(Tabela19234559187[#This Row])</f>
        <v>0</v>
      </c>
      <c r="E224" s="20">
        <f t="shared" si="27"/>
        <v>0</v>
      </c>
      <c r="F224" s="21" t="str">
        <f t="shared" si="28"/>
        <v/>
      </c>
      <c r="G224" s="24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2:39" x14ac:dyDescent="0.2">
      <c r="B225" s="22" t="str">
        <f>'Wzorzec kategorii'!B187</f>
        <v>.</v>
      </c>
      <c r="C225" s="19">
        <v>0</v>
      </c>
      <c r="D225" s="20">
        <f>SUM(Tabela19234559187[#This Row])</f>
        <v>0</v>
      </c>
      <c r="E225" s="20">
        <f t="shared" si="27"/>
        <v>0</v>
      </c>
      <c r="F225" s="21" t="str">
        <f t="shared" si="28"/>
        <v/>
      </c>
      <c r="G225" s="24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 spans="2:39" x14ac:dyDescent="0.2">
      <c r="B226" s="22" t="str">
        <f>'Wzorzec kategorii'!B188</f>
        <v>.</v>
      </c>
      <c r="C226" s="19">
        <v>0</v>
      </c>
      <c r="D226" s="20">
        <f>SUM(Tabela19234559187[#This Row])</f>
        <v>0</v>
      </c>
      <c r="E226" s="20">
        <f t="shared" si="27"/>
        <v>0</v>
      </c>
      <c r="F226" s="53" t="str">
        <f t="shared" si="28"/>
        <v/>
      </c>
      <c r="G226" s="54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</row>
    <row r="227" spans="2:39" x14ac:dyDescent="0.2">
      <c r="B227" s="22" t="str">
        <f>'Wzorzec kategorii'!B189</f>
        <v>.</v>
      </c>
      <c r="C227" s="19">
        <v>0</v>
      </c>
      <c r="D227" s="20">
        <f>SUM(Tabela19234559187[#This Row])</f>
        <v>0</v>
      </c>
      <c r="E227" s="20">
        <f t="shared" si="27"/>
        <v>0</v>
      </c>
      <c r="F227" s="53" t="str">
        <f t="shared" si="28"/>
        <v/>
      </c>
      <c r="G227" s="54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</row>
    <row r="228" spans="2:39" x14ac:dyDescent="0.2"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</row>
    <row r="229" spans="2:39" x14ac:dyDescent="0.2">
      <c r="B229" s="2" t="str">
        <f>'Wzorzec kategorii'!B191</f>
        <v>INNE 2</v>
      </c>
      <c r="C229" s="3">
        <f>SUM(Tabela16405860188[[#All],[Kolumna2]])</f>
        <v>0</v>
      </c>
      <c r="D229" s="16">
        <f>SUM(Tabela16405860188[[#All],[Kolumna3]])</f>
        <v>0</v>
      </c>
      <c r="E229" s="3">
        <f>C229-D229</f>
        <v>0</v>
      </c>
      <c r="F229" s="17" t="str">
        <f>IFERROR(D229/C229,"")</f>
        <v/>
      </c>
      <c r="G229" s="3"/>
      <c r="I229" s="11" t="s">
        <v>44</v>
      </c>
      <c r="J229" s="11" t="s">
        <v>45</v>
      </c>
      <c r="K229" s="11" t="s">
        <v>46</v>
      </c>
      <c r="L229" s="11" t="s">
        <v>47</v>
      </c>
      <c r="M229" s="11" t="s">
        <v>48</v>
      </c>
      <c r="N229" s="11" t="s">
        <v>49</v>
      </c>
      <c r="O229" s="11" t="s">
        <v>50</v>
      </c>
      <c r="P229" s="11" t="s">
        <v>51</v>
      </c>
      <c r="Q229" s="11" t="s">
        <v>52</v>
      </c>
      <c r="R229" s="11" t="s">
        <v>53</v>
      </c>
      <c r="S229" s="11" t="s">
        <v>54</v>
      </c>
      <c r="T229" s="11" t="s">
        <v>55</v>
      </c>
      <c r="U229" s="11" t="s">
        <v>56</v>
      </c>
      <c r="V229" s="11" t="s">
        <v>57</v>
      </c>
      <c r="W229" s="11" t="s">
        <v>58</v>
      </c>
      <c r="X229" s="11" t="s">
        <v>59</v>
      </c>
      <c r="Y229" s="11" t="s">
        <v>60</v>
      </c>
      <c r="Z229" s="11" t="s">
        <v>61</v>
      </c>
      <c r="AA229" s="11" t="s">
        <v>62</v>
      </c>
      <c r="AB229" s="11" t="s">
        <v>63</v>
      </c>
      <c r="AC229" s="11" t="s">
        <v>64</v>
      </c>
      <c r="AD229" s="11" t="s">
        <v>65</v>
      </c>
      <c r="AE229" s="11" t="s">
        <v>66</v>
      </c>
      <c r="AF229" s="11" t="s">
        <v>67</v>
      </c>
      <c r="AG229" s="11" t="s">
        <v>68</v>
      </c>
      <c r="AH229" s="11" t="s">
        <v>69</v>
      </c>
      <c r="AI229" s="11" t="s">
        <v>70</v>
      </c>
      <c r="AJ229" s="11" t="s">
        <v>71</v>
      </c>
      <c r="AK229" s="11" t="s">
        <v>72</v>
      </c>
      <c r="AL229" s="11" t="s">
        <v>73</v>
      </c>
      <c r="AM229" s="11" t="s">
        <v>74</v>
      </c>
    </row>
    <row r="230" spans="2:39" x14ac:dyDescent="0.2">
      <c r="B230" s="22" t="str">
        <f>'Wzorzec kategorii'!B192</f>
        <v>.</v>
      </c>
      <c r="C230" s="19">
        <v>0</v>
      </c>
      <c r="D230" s="20">
        <f>SUM(Tabela1923455962190[#This Row])</f>
        <v>0</v>
      </c>
      <c r="E230" s="20">
        <f t="shared" ref="E230:E239" si="29">C230-D230</f>
        <v>0</v>
      </c>
      <c r="F230" s="21" t="str">
        <f t="shared" ref="F230:F239" si="30">IFERROR(D230/C230,"")</f>
        <v/>
      </c>
      <c r="G230" s="24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2:39" x14ac:dyDescent="0.2">
      <c r="B231" s="22" t="str">
        <f>'Wzorzec kategorii'!B193</f>
        <v>.</v>
      </c>
      <c r="C231" s="19">
        <v>0</v>
      </c>
      <c r="D231" s="20">
        <f>SUM(Tabela1923455962190[#This Row])</f>
        <v>0</v>
      </c>
      <c r="E231" s="20">
        <f t="shared" si="29"/>
        <v>0</v>
      </c>
      <c r="F231" s="21" t="str">
        <f t="shared" si="30"/>
        <v/>
      </c>
      <c r="G231" s="24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 spans="2:39" x14ac:dyDescent="0.2">
      <c r="B232" s="22" t="str">
        <f>'Wzorzec kategorii'!B194</f>
        <v>.</v>
      </c>
      <c r="C232" s="19">
        <v>0</v>
      </c>
      <c r="D232" s="20">
        <f>SUM(Tabela1923455962190[#This Row])</f>
        <v>0</v>
      </c>
      <c r="E232" s="20">
        <f t="shared" si="29"/>
        <v>0</v>
      </c>
      <c r="F232" s="21" t="str">
        <f t="shared" si="30"/>
        <v/>
      </c>
      <c r="G232" s="24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</row>
    <row r="233" spans="2:39" x14ac:dyDescent="0.2">
      <c r="B233" s="22" t="str">
        <f>'Wzorzec kategorii'!B195</f>
        <v>.</v>
      </c>
      <c r="C233" s="19">
        <v>0</v>
      </c>
      <c r="D233" s="20">
        <f>SUM(Tabela1923455962190[#This Row])</f>
        <v>0</v>
      </c>
      <c r="E233" s="20">
        <f t="shared" si="29"/>
        <v>0</v>
      </c>
      <c r="F233" s="21" t="str">
        <f t="shared" si="30"/>
        <v/>
      </c>
      <c r="G233" s="24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2:39" x14ac:dyDescent="0.2">
      <c r="B234" s="22" t="str">
        <f>'Wzorzec kategorii'!B196</f>
        <v>.</v>
      </c>
      <c r="C234" s="19">
        <v>0</v>
      </c>
      <c r="D234" s="20">
        <f>SUM(Tabela1923455962190[#This Row])</f>
        <v>0</v>
      </c>
      <c r="E234" s="20">
        <f t="shared" si="29"/>
        <v>0</v>
      </c>
      <c r="F234" s="21" t="str">
        <f t="shared" si="30"/>
        <v/>
      </c>
      <c r="G234" s="24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 spans="2:39" x14ac:dyDescent="0.2">
      <c r="B235" s="22" t="str">
        <f>'Wzorzec kategorii'!B197</f>
        <v>.</v>
      </c>
      <c r="C235" s="19">
        <v>0</v>
      </c>
      <c r="D235" s="20">
        <f>SUM(Tabela1923455962190[#This Row])</f>
        <v>0</v>
      </c>
      <c r="E235" s="20">
        <f t="shared" si="29"/>
        <v>0</v>
      </c>
      <c r="F235" s="21" t="str">
        <f t="shared" si="30"/>
        <v/>
      </c>
      <c r="G235" s="24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 spans="2:39" x14ac:dyDescent="0.2">
      <c r="B236" s="22" t="str">
        <f>'Wzorzec kategorii'!B198</f>
        <v>.</v>
      </c>
      <c r="C236" s="19">
        <v>0</v>
      </c>
      <c r="D236" s="20">
        <f>SUM(Tabela1923455962190[#This Row])</f>
        <v>0</v>
      </c>
      <c r="E236" s="20">
        <f t="shared" si="29"/>
        <v>0</v>
      </c>
      <c r="F236" s="21" t="str">
        <f t="shared" si="30"/>
        <v/>
      </c>
      <c r="G236" s="24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 spans="2:39" x14ac:dyDescent="0.2">
      <c r="B237" s="22" t="str">
        <f>'Wzorzec kategorii'!B199</f>
        <v>.</v>
      </c>
      <c r="C237" s="19">
        <v>0</v>
      </c>
      <c r="D237" s="20">
        <f>SUM(Tabela1923455962190[#This Row])</f>
        <v>0</v>
      </c>
      <c r="E237" s="20">
        <f t="shared" si="29"/>
        <v>0</v>
      </c>
      <c r="F237" s="21" t="str">
        <f t="shared" si="30"/>
        <v/>
      </c>
      <c r="G237" s="24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 spans="2:39" x14ac:dyDescent="0.2">
      <c r="B238" s="22" t="str">
        <f>'Wzorzec kategorii'!B200</f>
        <v>.</v>
      </c>
      <c r="C238" s="19">
        <v>0</v>
      </c>
      <c r="D238" s="20">
        <f>SUM(Tabela1923455962190[#This Row])</f>
        <v>0</v>
      </c>
      <c r="E238" s="20">
        <f t="shared" si="29"/>
        <v>0</v>
      </c>
      <c r="F238" s="53" t="str">
        <f t="shared" si="30"/>
        <v/>
      </c>
      <c r="G238" s="54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</row>
    <row r="239" spans="2:39" x14ac:dyDescent="0.2">
      <c r="B239" s="22" t="str">
        <f>'Wzorzec kategorii'!B201</f>
        <v>.</v>
      </c>
      <c r="C239" s="19">
        <v>0</v>
      </c>
      <c r="D239" s="20">
        <f>SUM(Tabela1923455962190[#This Row])</f>
        <v>0</v>
      </c>
      <c r="E239" s="20">
        <f t="shared" si="29"/>
        <v>0</v>
      </c>
      <c r="F239" s="53" t="str">
        <f t="shared" si="30"/>
        <v/>
      </c>
      <c r="G239" s="54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</row>
    <row r="240" spans="2:39" x14ac:dyDescent="0.2"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</row>
    <row r="241" spans="2:39" x14ac:dyDescent="0.2">
      <c r="B241" s="2" t="str">
        <f>'Wzorzec kategorii'!B203</f>
        <v>INNE 3</v>
      </c>
      <c r="C241" s="3">
        <f>SUM(Tabela1640586061189[[#All],[Kolumna2]])</f>
        <v>0</v>
      </c>
      <c r="D241" s="16">
        <f>SUM(Tabela1640586061189[[#All],[Kolumna3]])</f>
        <v>0</v>
      </c>
      <c r="E241" s="3">
        <f>C241-D241</f>
        <v>0</v>
      </c>
      <c r="F241" s="17" t="str">
        <f>IFERROR(D241/C241,"")</f>
        <v/>
      </c>
      <c r="G241" s="3"/>
      <c r="I241" s="11" t="s">
        <v>44</v>
      </c>
      <c r="J241" s="11" t="s">
        <v>45</v>
      </c>
      <c r="K241" s="11" t="s">
        <v>46</v>
      </c>
      <c r="L241" s="11" t="s">
        <v>47</v>
      </c>
      <c r="M241" s="11" t="s">
        <v>48</v>
      </c>
      <c r="N241" s="11" t="s">
        <v>49</v>
      </c>
      <c r="O241" s="11" t="s">
        <v>50</v>
      </c>
      <c r="P241" s="11" t="s">
        <v>51</v>
      </c>
      <c r="Q241" s="11" t="s">
        <v>52</v>
      </c>
      <c r="R241" s="11" t="s">
        <v>53</v>
      </c>
      <c r="S241" s="11" t="s">
        <v>54</v>
      </c>
      <c r="T241" s="11" t="s">
        <v>55</v>
      </c>
      <c r="U241" s="11" t="s">
        <v>56</v>
      </c>
      <c r="V241" s="11" t="s">
        <v>57</v>
      </c>
      <c r="W241" s="11" t="s">
        <v>58</v>
      </c>
      <c r="X241" s="11" t="s">
        <v>59</v>
      </c>
      <c r="Y241" s="11" t="s">
        <v>60</v>
      </c>
      <c r="Z241" s="11" t="s">
        <v>61</v>
      </c>
      <c r="AA241" s="11" t="s">
        <v>62</v>
      </c>
      <c r="AB241" s="11" t="s">
        <v>63</v>
      </c>
      <c r="AC241" s="11" t="s">
        <v>64</v>
      </c>
      <c r="AD241" s="11" t="s">
        <v>65</v>
      </c>
      <c r="AE241" s="11" t="s">
        <v>66</v>
      </c>
      <c r="AF241" s="11" t="s">
        <v>67</v>
      </c>
      <c r="AG241" s="11" t="s">
        <v>68</v>
      </c>
      <c r="AH241" s="11" t="s">
        <v>69</v>
      </c>
      <c r="AI241" s="11" t="s">
        <v>70</v>
      </c>
      <c r="AJ241" s="11" t="s">
        <v>71</v>
      </c>
      <c r="AK241" s="11" t="s">
        <v>72</v>
      </c>
      <c r="AL241" s="11" t="s">
        <v>73</v>
      </c>
      <c r="AM241" s="11" t="s">
        <v>74</v>
      </c>
    </row>
    <row r="242" spans="2:39" x14ac:dyDescent="0.2">
      <c r="B242" s="22" t="str">
        <f>'Wzorzec kategorii'!B204</f>
        <v>.</v>
      </c>
      <c r="C242" s="19">
        <v>0</v>
      </c>
      <c r="D242" s="20">
        <f>SUM(Tabela1923455963191[#This Row])</f>
        <v>0</v>
      </c>
      <c r="E242" s="20">
        <f t="shared" ref="E242:E251" si="31">C242-D242</f>
        <v>0</v>
      </c>
      <c r="F242" s="21" t="str">
        <f t="shared" ref="F242:F251" si="32">IFERROR(D242/C242,"")</f>
        <v/>
      </c>
      <c r="G242" s="24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2:39" x14ac:dyDescent="0.2">
      <c r="B243" s="22" t="str">
        <f>'Wzorzec kategorii'!B205</f>
        <v>.</v>
      </c>
      <c r="C243" s="19">
        <v>0</v>
      </c>
      <c r="D243" s="20">
        <f>SUM(Tabela1923455963191[#This Row])</f>
        <v>0</v>
      </c>
      <c r="E243" s="20">
        <f t="shared" si="31"/>
        <v>0</v>
      </c>
      <c r="F243" s="21" t="str">
        <f t="shared" si="32"/>
        <v/>
      </c>
      <c r="G243" s="24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 spans="2:39" x14ac:dyDescent="0.2">
      <c r="B244" s="22" t="str">
        <f>'Wzorzec kategorii'!B206</f>
        <v>.</v>
      </c>
      <c r="C244" s="19">
        <v>0</v>
      </c>
      <c r="D244" s="20">
        <f>SUM(Tabela1923455963191[#This Row])</f>
        <v>0</v>
      </c>
      <c r="E244" s="20">
        <f t="shared" si="31"/>
        <v>0</v>
      </c>
      <c r="F244" s="21" t="str">
        <f t="shared" si="32"/>
        <v/>
      </c>
      <c r="G244" s="24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 spans="2:39" x14ac:dyDescent="0.2">
      <c r="B245" s="22" t="str">
        <f>'Wzorzec kategorii'!B207</f>
        <v>.</v>
      </c>
      <c r="C245" s="19">
        <v>0</v>
      </c>
      <c r="D245" s="20">
        <f>SUM(Tabela1923455963191[#This Row])</f>
        <v>0</v>
      </c>
      <c r="E245" s="20">
        <f t="shared" si="31"/>
        <v>0</v>
      </c>
      <c r="F245" s="21" t="str">
        <f t="shared" si="32"/>
        <v/>
      </c>
      <c r="G245" s="24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2:39" x14ac:dyDescent="0.2">
      <c r="B246" s="22" t="str">
        <f>'Wzorzec kategorii'!B208</f>
        <v>.</v>
      </c>
      <c r="C246" s="19">
        <v>0</v>
      </c>
      <c r="D246" s="20">
        <f>SUM(Tabela1923455963191[#This Row])</f>
        <v>0</v>
      </c>
      <c r="E246" s="20">
        <f t="shared" si="31"/>
        <v>0</v>
      </c>
      <c r="F246" s="21" t="str">
        <f t="shared" si="32"/>
        <v/>
      </c>
      <c r="G246" s="24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 spans="2:39" x14ac:dyDescent="0.2">
      <c r="B247" s="22" t="str">
        <f>'Wzorzec kategorii'!B209</f>
        <v>.</v>
      </c>
      <c r="C247" s="19">
        <v>0</v>
      </c>
      <c r="D247" s="20">
        <f>SUM(Tabela1923455963191[#This Row])</f>
        <v>0</v>
      </c>
      <c r="E247" s="20">
        <f t="shared" si="31"/>
        <v>0</v>
      </c>
      <c r="F247" s="21" t="str">
        <f t="shared" si="32"/>
        <v/>
      </c>
      <c r="G247" s="24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</row>
    <row r="248" spans="2:39" x14ac:dyDescent="0.2">
      <c r="B248" s="22" t="str">
        <f>'Wzorzec kategorii'!B210</f>
        <v>.</v>
      </c>
      <c r="C248" s="19">
        <v>0</v>
      </c>
      <c r="D248" s="20">
        <f>SUM(Tabela1923455963191[#This Row])</f>
        <v>0</v>
      </c>
      <c r="E248" s="20">
        <f t="shared" si="31"/>
        <v>0</v>
      </c>
      <c r="F248" s="21" t="str">
        <f t="shared" si="32"/>
        <v/>
      </c>
      <c r="G248" s="24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 spans="2:39" x14ac:dyDescent="0.2">
      <c r="B249" s="22" t="str">
        <f>'Wzorzec kategorii'!B211</f>
        <v>.</v>
      </c>
      <c r="C249" s="19">
        <v>0</v>
      </c>
      <c r="D249" s="20">
        <f>SUM(Tabela1923455963191[#This Row])</f>
        <v>0</v>
      </c>
      <c r="E249" s="20">
        <f t="shared" si="31"/>
        <v>0</v>
      </c>
      <c r="F249" s="21" t="str">
        <f t="shared" si="32"/>
        <v/>
      </c>
      <c r="G249" s="24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 spans="2:39" x14ac:dyDescent="0.2">
      <c r="B250" s="22" t="str">
        <f>'Wzorzec kategorii'!B212</f>
        <v>.</v>
      </c>
      <c r="C250" s="19">
        <v>0</v>
      </c>
      <c r="D250" s="20">
        <f>SUM(Tabela1923455963191[#This Row])</f>
        <v>0</v>
      </c>
      <c r="E250" s="20">
        <f t="shared" si="31"/>
        <v>0</v>
      </c>
      <c r="F250" s="53" t="str">
        <f t="shared" si="32"/>
        <v/>
      </c>
      <c r="G250" s="54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</row>
    <row r="251" spans="2:39" x14ac:dyDescent="0.2">
      <c r="B251" s="22" t="str">
        <f>'Wzorzec kategorii'!B213</f>
        <v>.</v>
      </c>
      <c r="C251" s="19">
        <v>0</v>
      </c>
      <c r="D251" s="20">
        <f>SUM(Tabela1923455963191[#This Row])</f>
        <v>0</v>
      </c>
      <c r="E251" s="20">
        <f t="shared" si="31"/>
        <v>0</v>
      </c>
      <c r="F251" s="53" t="str">
        <f t="shared" si="32"/>
        <v/>
      </c>
      <c r="G251" s="54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</row>
    <row r="252" spans="2:39" x14ac:dyDescent="0.2"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</row>
    <row r="253" spans="2:39" ht="30" x14ac:dyDescent="0.2">
      <c r="C253" s="9" t="s">
        <v>131</v>
      </c>
      <c r="D253" s="10" t="s">
        <v>135</v>
      </c>
      <c r="E253" s="8" t="s">
        <v>129</v>
      </c>
      <c r="I253" s="9" t="s">
        <v>44</v>
      </c>
      <c r="J253" s="9" t="s">
        <v>45</v>
      </c>
      <c r="K253" s="9" t="s">
        <v>46</v>
      </c>
      <c r="L253" s="9" t="s">
        <v>47</v>
      </c>
      <c r="M253" s="9" t="s">
        <v>48</v>
      </c>
      <c r="N253" s="9" t="s">
        <v>49</v>
      </c>
      <c r="O253" s="9" t="s">
        <v>50</v>
      </c>
      <c r="P253" s="9" t="s">
        <v>51</v>
      </c>
      <c r="Q253" s="9" t="s">
        <v>52</v>
      </c>
      <c r="R253" s="9" t="s">
        <v>53</v>
      </c>
      <c r="S253" s="9" t="s">
        <v>54</v>
      </c>
      <c r="T253" s="9" t="s">
        <v>55</v>
      </c>
      <c r="U253" s="9" t="s">
        <v>56</v>
      </c>
      <c r="V253" s="9" t="s">
        <v>57</v>
      </c>
      <c r="W253" s="9" t="s">
        <v>58</v>
      </c>
      <c r="X253" s="9" t="s">
        <v>59</v>
      </c>
      <c r="Y253" s="9" t="s">
        <v>60</v>
      </c>
      <c r="Z253" s="9" t="s">
        <v>61</v>
      </c>
      <c r="AA253" s="9" t="s">
        <v>62</v>
      </c>
      <c r="AB253" s="9" t="s">
        <v>63</v>
      </c>
      <c r="AC253" s="9" t="s">
        <v>64</v>
      </c>
      <c r="AD253" s="9" t="s">
        <v>65</v>
      </c>
      <c r="AE253" s="9" t="s">
        <v>66</v>
      </c>
      <c r="AF253" s="9" t="s">
        <v>67</v>
      </c>
      <c r="AG253" s="9" t="s">
        <v>68</v>
      </c>
      <c r="AH253" s="9" t="s">
        <v>69</v>
      </c>
      <c r="AI253" s="9" t="s">
        <v>70</v>
      </c>
      <c r="AJ253" s="9" t="s">
        <v>71</v>
      </c>
      <c r="AK253" s="9" t="s">
        <v>72</v>
      </c>
      <c r="AL253" s="9" t="s">
        <v>73</v>
      </c>
      <c r="AM253" s="9" t="s">
        <v>74</v>
      </c>
    </row>
    <row r="254" spans="2:39" ht="22" customHeight="1" x14ac:dyDescent="0.2">
      <c r="B254" s="39" t="s">
        <v>31</v>
      </c>
      <c r="C254" s="40">
        <f>C71</f>
        <v>0</v>
      </c>
      <c r="D254" s="40">
        <f>D71</f>
        <v>0</v>
      </c>
      <c r="E254" s="40">
        <f>C254-D254</f>
        <v>0</v>
      </c>
      <c r="G254" s="39" t="s">
        <v>126</v>
      </c>
      <c r="I254" s="43">
        <f>SUM(I73:I251)</f>
        <v>0</v>
      </c>
      <c r="J254" s="43">
        <f>SUM(J73:J251)</f>
        <v>0</v>
      </c>
      <c r="K254" s="43">
        <f>SUM(K73:K251)</f>
        <v>0</v>
      </c>
      <c r="L254" s="43">
        <f t="shared" ref="L254:AM254" si="33">SUM(L73:L251)</f>
        <v>0</v>
      </c>
      <c r="M254" s="43">
        <f t="shared" si="33"/>
        <v>0</v>
      </c>
      <c r="N254" s="43">
        <f t="shared" si="33"/>
        <v>0</v>
      </c>
      <c r="O254" s="43">
        <f t="shared" si="33"/>
        <v>0</v>
      </c>
      <c r="P254" s="43">
        <f t="shared" si="33"/>
        <v>0</v>
      </c>
      <c r="Q254" s="43">
        <f t="shared" si="33"/>
        <v>0</v>
      </c>
      <c r="R254" s="43">
        <f t="shared" si="33"/>
        <v>0</v>
      </c>
      <c r="S254" s="43">
        <f t="shared" si="33"/>
        <v>0</v>
      </c>
      <c r="T254" s="43">
        <f t="shared" si="33"/>
        <v>0</v>
      </c>
      <c r="U254" s="43">
        <f t="shared" si="33"/>
        <v>0</v>
      </c>
      <c r="V254" s="43">
        <f t="shared" si="33"/>
        <v>0</v>
      </c>
      <c r="W254" s="43">
        <f t="shared" si="33"/>
        <v>0</v>
      </c>
      <c r="X254" s="43">
        <f t="shared" si="33"/>
        <v>0</v>
      </c>
      <c r="Y254" s="43">
        <f t="shared" si="33"/>
        <v>0</v>
      </c>
      <c r="Z254" s="43">
        <f t="shared" si="33"/>
        <v>0</v>
      </c>
      <c r="AA254" s="43">
        <f t="shared" si="33"/>
        <v>0</v>
      </c>
      <c r="AB254" s="43">
        <f t="shared" si="33"/>
        <v>0</v>
      </c>
      <c r="AC254" s="43">
        <f t="shared" si="33"/>
        <v>0</v>
      </c>
      <c r="AD254" s="43">
        <f t="shared" si="33"/>
        <v>0</v>
      </c>
      <c r="AE254" s="43">
        <f t="shared" si="33"/>
        <v>0</v>
      </c>
      <c r="AF254" s="43">
        <f t="shared" si="33"/>
        <v>0</v>
      </c>
      <c r="AG254" s="43">
        <f t="shared" si="33"/>
        <v>0</v>
      </c>
      <c r="AH254" s="43">
        <f t="shared" si="33"/>
        <v>0</v>
      </c>
      <c r="AI254" s="43">
        <f t="shared" si="33"/>
        <v>0</v>
      </c>
      <c r="AJ254" s="43">
        <f t="shared" si="33"/>
        <v>0</v>
      </c>
      <c r="AK254" s="43">
        <f t="shared" si="33"/>
        <v>0</v>
      </c>
      <c r="AL254" s="43">
        <f t="shared" si="33"/>
        <v>0</v>
      </c>
      <c r="AM254" s="43">
        <f t="shared" si="33"/>
        <v>0</v>
      </c>
    </row>
    <row r="255" spans="2:39" x14ac:dyDescent="0.2"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</row>
  </sheetData>
  <mergeCells count="27">
    <mergeCell ref="B12:C12"/>
    <mergeCell ref="B2:C2"/>
    <mergeCell ref="D2:E2"/>
    <mergeCell ref="B4:E4"/>
    <mergeCell ref="B9:C9"/>
    <mergeCell ref="B10:C10"/>
    <mergeCell ref="C32:D32"/>
    <mergeCell ref="B16:C16"/>
    <mergeCell ref="B17:C17"/>
    <mergeCell ref="B19:C19"/>
    <mergeCell ref="B21:E21"/>
    <mergeCell ref="B23:D23"/>
    <mergeCell ref="B25:E25"/>
    <mergeCell ref="C27:D27"/>
    <mergeCell ref="C28:D28"/>
    <mergeCell ref="C29:D29"/>
    <mergeCell ref="C30:D30"/>
    <mergeCell ref="C31:D31"/>
    <mergeCell ref="C39:D39"/>
    <mergeCell ref="C40:D40"/>
    <mergeCell ref="C41:D41"/>
    <mergeCell ref="C33:D33"/>
    <mergeCell ref="C34:D34"/>
    <mergeCell ref="C35:D35"/>
    <mergeCell ref="C36:D36"/>
    <mergeCell ref="C37:D37"/>
    <mergeCell ref="C38:D38"/>
  </mergeCells>
  <conditionalFormatting sqref="D73">
    <cfRule type="dataBar" priority="29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{F39F7B11-9CED-614B-A01F-C1FE60E4EBF0}</x14:id>
        </ext>
      </extLst>
    </cfRule>
  </conditionalFormatting>
  <conditionalFormatting sqref="D85">
    <cfRule type="dataBar" priority="28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{EEFB29B5-67FA-0F46-82A0-C092FF12424A}</x14:id>
        </ext>
      </extLst>
    </cfRule>
  </conditionalFormatting>
  <conditionalFormatting sqref="B23:D23">
    <cfRule type="dataBar" priority="27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{06B6C2BA-591A-AD47-BB15-85EF82CAE298}</x14:id>
        </ext>
      </extLst>
    </cfRule>
  </conditionalFormatting>
  <conditionalFormatting sqref="C27:D27">
    <cfRule type="dataBar" priority="26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{F989493E-A08B-3241-A3F0-4FC149B40C75}</x14:id>
        </ext>
      </extLst>
    </cfRule>
  </conditionalFormatting>
  <conditionalFormatting sqref="D97">
    <cfRule type="dataBar" priority="25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{1AB96C1A-8E1F-3240-A949-22FAACF3343F}</x14:id>
        </ext>
      </extLst>
    </cfRule>
  </conditionalFormatting>
  <conditionalFormatting sqref="C28:D28">
    <cfRule type="dataBar" priority="24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{87B62010-867A-C34E-96C6-4CD3830CE686}</x14:id>
        </ext>
      </extLst>
    </cfRule>
  </conditionalFormatting>
  <conditionalFormatting sqref="C29:D29">
    <cfRule type="dataBar" priority="23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{211A65A6-F2B5-3547-A2AD-0344386D05B4}</x14:id>
        </ext>
      </extLst>
    </cfRule>
  </conditionalFormatting>
  <conditionalFormatting sqref="C30:D30">
    <cfRule type="dataBar" priority="22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{1A3E8E0B-3643-B54F-B04D-5FBCAACBF62E}</x14:id>
        </ext>
      </extLst>
    </cfRule>
  </conditionalFormatting>
  <conditionalFormatting sqref="C31:D31">
    <cfRule type="dataBar" priority="21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{5FAFCF65-35A7-AE43-BDCA-CFEB75FEEFEC}</x14:id>
        </ext>
      </extLst>
    </cfRule>
  </conditionalFormatting>
  <conditionalFormatting sqref="C32:D32">
    <cfRule type="dataBar" priority="20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{7804F8E9-6828-C74D-B23B-776AFF370166}</x14:id>
        </ext>
      </extLst>
    </cfRule>
  </conditionalFormatting>
  <conditionalFormatting sqref="C33:D33">
    <cfRule type="dataBar" priority="19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{9BD5A4F2-D932-D74D-B0E1-E75C4E56FC6F}</x14:id>
        </ext>
      </extLst>
    </cfRule>
  </conditionalFormatting>
  <conditionalFormatting sqref="C34:D34">
    <cfRule type="dataBar" priority="18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{52A91618-9DCA-2344-8184-68E21FAFDD73}</x14:id>
        </ext>
      </extLst>
    </cfRule>
  </conditionalFormatting>
  <conditionalFormatting sqref="C35:D35">
    <cfRule type="dataBar" priority="17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{ED422028-A197-7A41-B39E-2DC7B9FBA4EA}</x14:id>
        </ext>
      </extLst>
    </cfRule>
  </conditionalFormatting>
  <conditionalFormatting sqref="C36:D36">
    <cfRule type="dataBar" priority="16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{E2933651-78DA-CA4B-9545-AC4A7A676130}</x14:id>
        </ext>
      </extLst>
    </cfRule>
  </conditionalFormatting>
  <conditionalFormatting sqref="C37:D37">
    <cfRule type="dataBar" priority="15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{055D46E4-9694-FA4F-8604-3C2FDFD92B9F}</x14:id>
        </ext>
      </extLst>
    </cfRule>
  </conditionalFormatting>
  <conditionalFormatting sqref="C38:D41">
    <cfRule type="dataBar" priority="14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{F9FB8A32-52EF-964B-B152-CC6C53D6F054}</x14:id>
        </ext>
      </extLst>
    </cfRule>
  </conditionalFormatting>
  <conditionalFormatting sqref="D109">
    <cfRule type="dataBar" priority="13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{8775021B-749B-D943-8D39-B058D0F894AF}</x14:id>
        </ext>
      </extLst>
    </cfRule>
  </conditionalFormatting>
  <conditionalFormatting sqref="D121">
    <cfRule type="dataBar" priority="12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{6B6A00DC-01BC-1348-A659-82D824B1025F}</x14:id>
        </ext>
      </extLst>
    </cfRule>
  </conditionalFormatting>
  <conditionalFormatting sqref="D133">
    <cfRule type="dataBar" priority="11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{F088818B-7C77-0148-A88B-8E29E853B8B5}</x14:id>
        </ext>
      </extLst>
    </cfRule>
  </conditionalFormatting>
  <conditionalFormatting sqref="D145">
    <cfRule type="dataBar" priority="10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{E23AF2E0-C5A2-ED4F-ACFA-C5CFB4A8833F}</x14:id>
        </ext>
      </extLst>
    </cfRule>
  </conditionalFormatting>
  <conditionalFormatting sqref="D157">
    <cfRule type="dataBar" priority="9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{C15A68F2-6385-4E4E-ADFF-52AC3BC68D72}</x14:id>
        </ext>
      </extLst>
    </cfRule>
  </conditionalFormatting>
  <conditionalFormatting sqref="D169">
    <cfRule type="dataBar" priority="8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{52775753-26D1-5D49-AC54-04BBDBDE0DE0}</x14:id>
        </ext>
      </extLst>
    </cfRule>
  </conditionalFormatting>
  <conditionalFormatting sqref="D181">
    <cfRule type="dataBar" priority="7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{439D8B65-2282-8247-BD9C-70B8171CADA9}</x14:id>
        </ext>
      </extLst>
    </cfRule>
  </conditionalFormatting>
  <conditionalFormatting sqref="D193">
    <cfRule type="dataBar" priority="6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{CCE005FA-8428-154D-AC9D-5C303F89AEC7}</x14:id>
        </ext>
      </extLst>
    </cfRule>
  </conditionalFormatting>
  <conditionalFormatting sqref="D205">
    <cfRule type="dataBar" priority="5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{96C6FF62-44B8-9044-9DDC-583FBEBD88BC}</x14:id>
        </ext>
      </extLst>
    </cfRule>
  </conditionalFormatting>
  <conditionalFormatting sqref="D51">
    <cfRule type="dataBar" priority="4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{CC4308C5-FC15-3B4D-9203-CC24F286B70C}</x14:id>
        </ext>
      </extLst>
    </cfRule>
  </conditionalFormatting>
  <conditionalFormatting sqref="D217">
    <cfRule type="dataBar" priority="3">
      <dataBar>
        <cfvo type="num" val="0"/>
        <cfvo type="formula" val="$C$217"/>
        <color rgb="FF92D050"/>
      </dataBar>
      <extLst>
        <ext xmlns:x14="http://schemas.microsoft.com/office/spreadsheetml/2009/9/main" uri="{B025F937-C7B1-47D3-B67F-A62EFF666E3E}">
          <x14:id>{2AF048FD-38E2-C949-8C1B-2D732C9EE402}</x14:id>
        </ext>
      </extLst>
    </cfRule>
  </conditionalFormatting>
  <conditionalFormatting sqref="D229">
    <cfRule type="dataBar" priority="2">
      <dataBar>
        <cfvo type="num" val="0"/>
        <cfvo type="formula" val="$C$229"/>
        <color rgb="FF92D050"/>
      </dataBar>
      <extLst>
        <ext xmlns:x14="http://schemas.microsoft.com/office/spreadsheetml/2009/9/main" uri="{B025F937-C7B1-47D3-B67F-A62EFF666E3E}">
          <x14:id>{819B69EE-BEAE-3641-B404-968C42452004}</x14:id>
        </ext>
      </extLst>
    </cfRule>
  </conditionalFormatting>
  <conditionalFormatting sqref="D241">
    <cfRule type="dataBar" priority="1">
      <dataBar>
        <cfvo type="num" val="0"/>
        <cfvo type="formula" val="$C$241"/>
        <color rgb="FF92D050"/>
      </dataBar>
      <extLst>
        <ext xmlns:x14="http://schemas.microsoft.com/office/spreadsheetml/2009/9/main" uri="{B025F937-C7B1-47D3-B67F-A62EFF666E3E}">
          <x14:id>{C96D594A-5798-494E-8114-BDEC05A54AEF}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9F7B11-9CED-614B-A01F-C1FE60E4EBF0}">
            <x14:dataBar minLength="0" maxLength="100" gradient="0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EEFB29B5-67FA-0F46-82A0-C092FF12424A}">
            <x14:dataBar minLength="0" maxLength="100" gradient="0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06B6C2BA-591A-AD47-BB15-85EF82CAE298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F989493E-A08B-3241-A3F0-4FC149B40C75}">
            <x14:dataBar minLength="0" maxLength="100" gradient="0" direction="leftToRight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1AB96C1A-8E1F-3240-A949-22FAACF3343F}">
            <x14:dataBar minLength="0" maxLength="100" gradient="0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87B62010-867A-C34E-96C6-4CD3830CE686}">
            <x14:dataBar minLength="0" maxLength="100" gradient="0" direction="leftToRight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211A65A6-F2B5-3547-A2AD-0344386D05B4}">
            <x14:dataBar minLength="0" maxLength="100" gradient="0" direction="leftToRight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1A3E8E0B-3643-B54F-B04D-5FBCAACBF62E}">
            <x14:dataBar minLength="0" maxLength="100" gradient="0" direction="leftToRight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5FAFCF65-35A7-AE43-BDCA-CFEB75FEEFEC}">
            <x14:dataBar minLength="0" maxLength="100" gradient="0" direction="leftToRight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7804F8E9-6828-C74D-B23B-776AFF370166}">
            <x14:dataBar minLength="0" maxLength="100" gradient="0" direction="leftToRight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9BD5A4F2-D932-D74D-B0E1-E75C4E56FC6F}">
            <x14:dataBar minLength="0" maxLength="100" gradient="0" direction="leftToRight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52A91618-9DCA-2344-8184-68E21FAFDD73}">
            <x14:dataBar minLength="0" maxLength="100" gradient="0" direction="leftToRight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ED422028-A197-7A41-B39E-2DC7B9FBA4EA}">
            <x14:dataBar minLength="0" maxLength="100" gradient="0" direction="leftToRight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E2933651-78DA-CA4B-9545-AC4A7A676130}">
            <x14:dataBar minLength="0" maxLength="100" gradient="0" direction="leftToRight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055D46E4-9694-FA4F-8604-3C2FDFD92B9F}">
            <x14:dataBar minLength="0" maxLength="100" gradient="0" direction="leftToRight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F9FB8A32-52EF-964B-B152-CC6C53D6F054}">
            <x14:dataBar minLength="0" maxLength="100" gradient="0" direction="leftToRight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C38:D41</xm:sqref>
        </x14:conditionalFormatting>
        <x14:conditionalFormatting xmlns:xm="http://schemas.microsoft.com/office/excel/2006/main">
          <x14:cfRule type="dataBar" id="{8775021B-749B-D943-8D39-B058D0F894AF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D109</xm:sqref>
        </x14:conditionalFormatting>
        <x14:conditionalFormatting xmlns:xm="http://schemas.microsoft.com/office/excel/2006/main">
          <x14:cfRule type="dataBar" id="{6B6A00DC-01BC-1348-A659-82D824B1025F}">
            <x14:dataBar minLength="0" maxLength="100" gradient="0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D121</xm:sqref>
        </x14:conditionalFormatting>
        <x14:conditionalFormatting xmlns:xm="http://schemas.microsoft.com/office/excel/2006/main">
          <x14:cfRule type="dataBar" id="{F088818B-7C77-0148-A88B-8E29E853B8B5}">
            <x14:dataBar minLength="0" maxLength="100" gradient="0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E23AF2E0-C5A2-ED4F-ACFA-C5CFB4A8833F}">
            <x14:dataBar minLength="0" maxLength="100" gradient="0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C15A68F2-6385-4E4E-ADFF-52AC3BC68D72}">
            <x14:dataBar minLength="0" maxLength="100" gradient="0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52775753-26D1-5D49-AC54-04BBDBDE0DE0}">
            <x14:dataBar minLength="0" maxLength="100" gradient="0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439D8B65-2282-8247-BD9C-70B8171CADA9}">
            <x14:dataBar minLength="0" maxLength="100" gradient="0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CCE005FA-8428-154D-AC9D-5C303F89AEC7}">
            <x14:dataBar minLength="0" maxLength="100" gradient="0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D193</xm:sqref>
        </x14:conditionalFormatting>
        <x14:conditionalFormatting xmlns:xm="http://schemas.microsoft.com/office/excel/2006/main">
          <x14:cfRule type="dataBar" id="{96C6FF62-44B8-9044-9DDC-583FBEBD88BC}">
            <x14:dataBar minLength="0" maxLength="100" gradient="0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D205</xm:sqref>
        </x14:conditionalFormatting>
        <x14:conditionalFormatting xmlns:xm="http://schemas.microsoft.com/office/excel/2006/main">
          <x14:cfRule type="dataBar" id="{CC4308C5-FC15-3B4D-9203-CC24F286B70C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2AF048FD-38E2-C949-8C1B-2D732C9EE402}">
            <x14:dataBar minLength="0" maxLength="100" gradient="0">
              <x14:cfvo type="num">
                <xm:f>0</xm:f>
              </x14:cfvo>
              <x14:cfvo type="formula">
                <xm:f>$C$217</xm:f>
              </x14:cfvo>
              <x14:negativeFillColor rgb="FFFF0000"/>
              <x14:axisColor rgb="FF000000"/>
            </x14:dataBar>
          </x14:cfRule>
          <xm:sqref>D217</xm:sqref>
        </x14:conditionalFormatting>
        <x14:conditionalFormatting xmlns:xm="http://schemas.microsoft.com/office/excel/2006/main">
          <x14:cfRule type="dataBar" id="{819B69EE-BEAE-3641-B404-968C42452004}">
            <x14:dataBar minLength="0" maxLength="100" gradient="0">
              <x14:cfvo type="num">
                <xm:f>0</xm:f>
              </x14:cfvo>
              <x14:cfvo type="formula">
                <xm:f>$C$229</xm:f>
              </x14:cfvo>
              <x14:negativeFillColor rgb="FFFF0000"/>
              <x14:axisColor rgb="FF000000"/>
            </x14:dataBar>
          </x14:cfRule>
          <xm:sqref>D229</xm:sqref>
        </x14:conditionalFormatting>
        <x14:conditionalFormatting xmlns:xm="http://schemas.microsoft.com/office/excel/2006/main">
          <x14:cfRule type="dataBar" id="{C96D594A-5798-494E-8114-BDEC05A54AEF}">
            <x14:dataBar minLength="0" maxLength="100" gradient="0">
              <x14:cfvo type="num">
                <xm:f>0</xm:f>
              </x14:cfvo>
              <x14:cfvo type="formula">
                <xm:f>$C$241</xm:f>
              </x14:cfvo>
              <x14:negativeFillColor rgb="FFFF0000"/>
              <x14:axisColor rgb="FF000000"/>
            </x14:dataBar>
          </x14:cfRule>
          <xm:sqref>D241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 enableFormatConditionsCalculation="0"/>
  <dimension ref="B2:AO255"/>
  <sheetViews>
    <sheetView showGridLines="0" workbookViewId="0">
      <pane xSplit="8" topLeftCell="I1" activePane="topRight" state="frozen"/>
      <selection activeCell="A12" sqref="A12"/>
      <selection pane="topRight" activeCell="I2" sqref="I2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  <col min="9" max="39" width="11.33203125" customWidth="1"/>
  </cols>
  <sheetData>
    <row r="2" spans="2:7" ht="24" x14ac:dyDescent="0.3">
      <c r="B2" s="66" t="s">
        <v>130</v>
      </c>
      <c r="C2" s="66"/>
      <c r="D2" s="67" t="s">
        <v>164</v>
      </c>
      <c r="E2" s="68"/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69" t="s">
        <v>144</v>
      </c>
      <c r="C4" s="70"/>
      <c r="D4" s="70"/>
      <c r="E4" s="70"/>
    </row>
    <row r="5" spans="2:7" outlineLevel="1" x14ac:dyDescent="0.2">
      <c r="B5" s="41" t="s">
        <v>147</v>
      </c>
      <c r="C5" s="45" t="s">
        <v>148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132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62" t="s">
        <v>127</v>
      </c>
      <c r="C9" s="62"/>
      <c r="D9" s="34">
        <f>C49</f>
        <v>0</v>
      </c>
      <c r="E9" s="18"/>
    </row>
    <row r="10" spans="2:7" x14ac:dyDescent="0.2">
      <c r="B10" s="62" t="s">
        <v>131</v>
      </c>
      <c r="C10" s="62"/>
      <c r="D10" s="34">
        <f>C71</f>
        <v>0</v>
      </c>
      <c r="E10" s="18"/>
    </row>
    <row r="11" spans="2:7" x14ac:dyDescent="0.2">
      <c r="B11" s="48"/>
      <c r="C11" s="48"/>
      <c r="D11" s="31"/>
      <c r="E11" s="18"/>
    </row>
    <row r="12" spans="2:7" ht="30" customHeight="1" x14ac:dyDescent="0.2">
      <c r="B12" s="63" t="s">
        <v>133</v>
      </c>
      <c r="C12" s="63"/>
      <c r="D12" s="36">
        <f>D9-D10</f>
        <v>0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134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62" t="s">
        <v>128</v>
      </c>
      <c r="C16" s="62"/>
      <c r="D16" s="28">
        <f>D49</f>
        <v>0</v>
      </c>
      <c r="E16" s="18"/>
    </row>
    <row r="17" spans="2:5" x14ac:dyDescent="0.2">
      <c r="B17" s="62" t="s">
        <v>135</v>
      </c>
      <c r="C17" s="62"/>
      <c r="D17" s="28">
        <f>D71</f>
        <v>0</v>
      </c>
      <c r="E17" s="18"/>
    </row>
    <row r="18" spans="2:5" x14ac:dyDescent="0.2">
      <c r="B18" s="48"/>
      <c r="C18" s="48"/>
      <c r="D18" s="28"/>
      <c r="E18" s="18"/>
    </row>
    <row r="19" spans="2:5" ht="30" customHeight="1" x14ac:dyDescent="0.2">
      <c r="B19" s="63" t="s">
        <v>136</v>
      </c>
      <c r="C19" s="63"/>
      <c r="D19" s="36">
        <f>D16-D17</f>
        <v>0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64" t="s">
        <v>137</v>
      </c>
      <c r="C21" s="64"/>
      <c r="D21" s="64"/>
      <c r="E21" s="64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60">
        <f>D17</f>
        <v>0</v>
      </c>
      <c r="C23" s="65"/>
      <c r="D23" s="61"/>
      <c r="E23" s="38" t="str">
        <f>IFERROR(D17/D16,"")</f>
        <v/>
      </c>
    </row>
    <row r="24" spans="2:5" ht="18" x14ac:dyDescent="0.2">
      <c r="B24" s="29"/>
      <c r="D24" s="30"/>
      <c r="E24" s="18"/>
    </row>
    <row r="25" spans="2:5" x14ac:dyDescent="0.2">
      <c r="B25" s="64" t="s">
        <v>138</v>
      </c>
      <c r="C25" s="64"/>
      <c r="D25" s="64"/>
      <c r="E25" s="64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B73</f>
        <v>Jedzenie</v>
      </c>
      <c r="C27" s="60">
        <f>D73</f>
        <v>0</v>
      </c>
      <c r="D27" s="72"/>
      <c r="E27" s="38" t="str">
        <f>IFERROR(D73/C73,"")</f>
        <v/>
      </c>
    </row>
    <row r="28" spans="2:5" ht="18" customHeight="1" x14ac:dyDescent="0.2">
      <c r="B28" s="29" t="str">
        <f>B85</f>
        <v>Mieszkanie / dom</v>
      </c>
      <c r="C28" s="60">
        <f>D85</f>
        <v>0</v>
      </c>
      <c r="D28" s="61"/>
      <c r="E28" s="38" t="str">
        <f>IFERROR(D85/C85,"")</f>
        <v/>
      </c>
    </row>
    <row r="29" spans="2:5" ht="18" customHeight="1" x14ac:dyDescent="0.2">
      <c r="B29" s="29" t="str">
        <f>B97</f>
        <v>Transport</v>
      </c>
      <c r="C29" s="60">
        <f>D97</f>
        <v>0</v>
      </c>
      <c r="D29" s="61"/>
      <c r="E29" s="38" t="str">
        <f>IFERROR(D97/C97,"")</f>
        <v/>
      </c>
    </row>
    <row r="30" spans="2:5" ht="18" customHeight="1" x14ac:dyDescent="0.2">
      <c r="B30" s="29" t="str">
        <f>B109</f>
        <v>Telekomunikacja</v>
      </c>
      <c r="C30" s="60">
        <f>D109</f>
        <v>0</v>
      </c>
      <c r="D30" s="61"/>
      <c r="E30" s="38" t="str">
        <f>IFERROR(D109/C109,"")</f>
        <v/>
      </c>
    </row>
    <row r="31" spans="2:5" ht="18" customHeight="1" x14ac:dyDescent="0.2">
      <c r="B31" s="29" t="str">
        <f>B121</f>
        <v>Opieka zdrowotna</v>
      </c>
      <c r="C31" s="60">
        <f>D121</f>
        <v>0</v>
      </c>
      <c r="D31" s="61"/>
      <c r="E31" s="38" t="str">
        <f>IFERROR(D121/C121,"")</f>
        <v/>
      </c>
    </row>
    <row r="32" spans="2:5" ht="18" customHeight="1" x14ac:dyDescent="0.2">
      <c r="B32" s="29" t="str">
        <f>B133</f>
        <v>Ubranie</v>
      </c>
      <c r="C32" s="60">
        <f>D133</f>
        <v>0</v>
      </c>
      <c r="D32" s="61"/>
      <c r="E32" s="38" t="str">
        <f>IFERROR(D133/C133,"")</f>
        <v/>
      </c>
    </row>
    <row r="33" spans="2:9" ht="18" customHeight="1" x14ac:dyDescent="0.2">
      <c r="B33" s="29" t="str">
        <f>B145</f>
        <v>Higiena</v>
      </c>
      <c r="C33" s="60">
        <f>D145</f>
        <v>0</v>
      </c>
      <c r="D33" s="61"/>
      <c r="E33" s="38" t="str">
        <f>IFERROR(D145/C145,"")</f>
        <v/>
      </c>
    </row>
    <row r="34" spans="2:9" ht="18" customHeight="1" x14ac:dyDescent="0.2">
      <c r="B34" s="29" t="str">
        <f>B157</f>
        <v>Dzieci</v>
      </c>
      <c r="C34" s="60">
        <f>D157</f>
        <v>0</v>
      </c>
      <c r="D34" s="61"/>
      <c r="E34" s="38" t="str">
        <f>IFERROR(D157/C157,"")</f>
        <v/>
      </c>
    </row>
    <row r="35" spans="2:9" ht="18" customHeight="1" x14ac:dyDescent="0.2">
      <c r="B35" s="29" t="str">
        <f>B169</f>
        <v>Rozrywka</v>
      </c>
      <c r="C35" s="60">
        <f>D169</f>
        <v>0</v>
      </c>
      <c r="D35" s="61"/>
      <c r="E35" s="38" t="str">
        <f>IFERROR(D169/C169,"")</f>
        <v/>
      </c>
    </row>
    <row r="36" spans="2:9" ht="18" customHeight="1" x14ac:dyDescent="0.2">
      <c r="B36" s="29" t="str">
        <f>B181</f>
        <v>Inne wydatki</v>
      </c>
      <c r="C36" s="60">
        <f>D181</f>
        <v>0</v>
      </c>
      <c r="D36" s="61"/>
      <c r="E36" s="38" t="str">
        <f>IFERROR(D181/C181,"")</f>
        <v/>
      </c>
    </row>
    <row r="37" spans="2:9" ht="18" customHeight="1" x14ac:dyDescent="0.2">
      <c r="B37" s="29" t="str">
        <f>B193</f>
        <v>Spłata długów</v>
      </c>
      <c r="C37" s="60">
        <f>D193</f>
        <v>0</v>
      </c>
      <c r="D37" s="61"/>
      <c r="E37" s="38" t="str">
        <f>IFERROR(D193/C193,"")</f>
        <v/>
      </c>
    </row>
    <row r="38" spans="2:9" ht="18" customHeight="1" x14ac:dyDescent="0.2">
      <c r="B38" s="29" t="str">
        <f>B205</f>
        <v>Budowanie oszczędności</v>
      </c>
      <c r="C38" s="60">
        <f>D205</f>
        <v>0</v>
      </c>
      <c r="D38" s="61"/>
      <c r="E38" s="38" t="str">
        <f>IFERROR(D205/C205,"")</f>
        <v/>
      </c>
    </row>
    <row r="39" spans="2:9" ht="18" customHeight="1" x14ac:dyDescent="0.2">
      <c r="B39" s="29" t="str">
        <f>B217</f>
        <v>INNE 1</v>
      </c>
      <c r="C39" s="60">
        <f>D217</f>
        <v>0</v>
      </c>
      <c r="D39" s="61"/>
      <c r="E39" s="38" t="str">
        <f>IFERROR(D217/C217,"")</f>
        <v/>
      </c>
    </row>
    <row r="40" spans="2:9" ht="18" customHeight="1" x14ac:dyDescent="0.2">
      <c r="B40" s="29" t="str">
        <f>B229</f>
        <v>INNE 2</v>
      </c>
      <c r="C40" s="60">
        <f>D229</f>
        <v>0</v>
      </c>
      <c r="D40" s="72"/>
      <c r="E40" s="38" t="str">
        <f>IFERROR(D229/C229,"")</f>
        <v/>
      </c>
    </row>
    <row r="41" spans="2:9" ht="18" customHeight="1" x14ac:dyDescent="0.2">
      <c r="B41" s="29" t="str">
        <f>B241</f>
        <v>INNE 3</v>
      </c>
      <c r="C41" s="60">
        <f>D241</f>
        <v>0</v>
      </c>
      <c r="D41" s="72"/>
      <c r="E41" s="38" t="str">
        <f>IFERROR(D241/C241,"")</f>
        <v/>
      </c>
    </row>
    <row r="42" spans="2:9" ht="18" x14ac:dyDescent="0.2">
      <c r="B42" s="29"/>
      <c r="D42" s="30"/>
      <c r="E42" s="18"/>
    </row>
    <row r="43" spans="2:9" x14ac:dyDescent="0.2">
      <c r="B43" s="18"/>
      <c r="C43" s="18"/>
      <c r="D43" s="18"/>
      <c r="E43" s="18"/>
    </row>
    <row r="44" spans="2:9" ht="22" thickBot="1" x14ac:dyDescent="0.3">
      <c r="B44" s="32" t="s">
        <v>42</v>
      </c>
      <c r="C44" s="33"/>
      <c r="D44" s="33"/>
      <c r="E44" s="33"/>
      <c r="F44" s="33"/>
      <c r="G44" s="33"/>
    </row>
    <row r="46" spans="2:9" ht="21" x14ac:dyDescent="0.25">
      <c r="B46" s="44" t="s">
        <v>26</v>
      </c>
      <c r="I46" s="7" t="s">
        <v>43</v>
      </c>
    </row>
    <row r="47" spans="2:9" x14ac:dyDescent="0.2">
      <c r="B47" s="1"/>
    </row>
    <row r="48" spans="2:9" ht="30" x14ac:dyDescent="0.2">
      <c r="B48" s="8" t="s">
        <v>0</v>
      </c>
      <c r="C48" s="9" t="s">
        <v>127</v>
      </c>
      <c r="D48" s="10" t="s">
        <v>128</v>
      </c>
      <c r="E48" s="8" t="s">
        <v>129</v>
      </c>
      <c r="F48" s="9" t="s">
        <v>140</v>
      </c>
      <c r="G48" s="8" t="s">
        <v>41</v>
      </c>
      <c r="I48" s="41" t="s">
        <v>159</v>
      </c>
    </row>
    <row r="49" spans="2:39" ht="26" customHeight="1" x14ac:dyDescent="0.2">
      <c r="B49" s="39" t="s">
        <v>139</v>
      </c>
      <c r="C49" s="40">
        <f>C51</f>
        <v>0</v>
      </c>
      <c r="D49" s="40">
        <f>D51</f>
        <v>0</v>
      </c>
      <c r="E49" s="40">
        <f>D49-C49</f>
        <v>0</v>
      </c>
      <c r="F49" s="8" t="s">
        <v>141</v>
      </c>
      <c r="G49" s="8"/>
      <c r="I49" s="43">
        <f>SUM(I52:I67)</f>
        <v>0</v>
      </c>
      <c r="J49" s="43">
        <f>SUM(J52:J67)</f>
        <v>0</v>
      </c>
      <c r="K49" s="43">
        <f t="shared" ref="K49:AM49" si="0">SUM(K52:K67)</f>
        <v>0</v>
      </c>
      <c r="L49" s="43">
        <f t="shared" si="0"/>
        <v>0</v>
      </c>
      <c r="M49" s="43">
        <f t="shared" si="0"/>
        <v>0</v>
      </c>
      <c r="N49" s="43">
        <f t="shared" si="0"/>
        <v>0</v>
      </c>
      <c r="O49" s="43">
        <f t="shared" si="0"/>
        <v>0</v>
      </c>
      <c r="P49" s="43">
        <f t="shared" si="0"/>
        <v>0</v>
      </c>
      <c r="Q49" s="43">
        <f t="shared" si="0"/>
        <v>0</v>
      </c>
      <c r="R49" s="43">
        <f t="shared" si="0"/>
        <v>0</v>
      </c>
      <c r="S49" s="43">
        <f t="shared" si="0"/>
        <v>0</v>
      </c>
      <c r="T49" s="43">
        <f t="shared" si="0"/>
        <v>0</v>
      </c>
      <c r="U49" s="43">
        <f t="shared" si="0"/>
        <v>0</v>
      </c>
      <c r="V49" s="43">
        <f t="shared" si="0"/>
        <v>0</v>
      </c>
      <c r="W49" s="43">
        <f t="shared" si="0"/>
        <v>0</v>
      </c>
      <c r="X49" s="43">
        <f t="shared" si="0"/>
        <v>0</v>
      </c>
      <c r="Y49" s="43">
        <f t="shared" si="0"/>
        <v>0</v>
      </c>
      <c r="Z49" s="43">
        <f t="shared" si="0"/>
        <v>0</v>
      </c>
      <c r="AA49" s="43">
        <f t="shared" si="0"/>
        <v>0</v>
      </c>
      <c r="AB49" s="43">
        <f t="shared" si="0"/>
        <v>0</v>
      </c>
      <c r="AC49" s="43">
        <f t="shared" si="0"/>
        <v>0</v>
      </c>
      <c r="AD49" s="43">
        <f t="shared" si="0"/>
        <v>0</v>
      </c>
      <c r="AE49" s="43">
        <f t="shared" si="0"/>
        <v>0</v>
      </c>
      <c r="AF49" s="43">
        <f t="shared" si="0"/>
        <v>0</v>
      </c>
      <c r="AG49" s="43">
        <f t="shared" si="0"/>
        <v>0</v>
      </c>
      <c r="AH49" s="43">
        <f t="shared" si="0"/>
        <v>0</v>
      </c>
      <c r="AI49" s="43">
        <f t="shared" si="0"/>
        <v>0</v>
      </c>
      <c r="AJ49" s="43">
        <f t="shared" si="0"/>
        <v>0</v>
      </c>
      <c r="AK49" s="43">
        <f t="shared" si="0"/>
        <v>0</v>
      </c>
      <c r="AL49" s="43">
        <f t="shared" si="0"/>
        <v>0</v>
      </c>
      <c r="AM49" s="43">
        <f t="shared" si="0"/>
        <v>0</v>
      </c>
    </row>
    <row r="50" spans="2:39" x14ac:dyDescent="0.2">
      <c r="B50" s="1"/>
    </row>
    <row r="51" spans="2:39" x14ac:dyDescent="0.2">
      <c r="B51" s="14" t="str">
        <f>'Wzorzec kategorii'!B14</f>
        <v>Całkowite przychody</v>
      </c>
      <c r="C51" s="15">
        <f>SUM(Tabela718195[[#All],[Kolumna2]])</f>
        <v>0</v>
      </c>
      <c r="D51" s="16">
        <f>SUM(Tabela718195[[#All],[Kolumna3]])</f>
        <v>0</v>
      </c>
      <c r="E51" s="15">
        <f>D51-C51</f>
        <v>0</v>
      </c>
      <c r="F51" s="17" t="str">
        <f>IFERROR(D51/C51,"")</f>
        <v/>
      </c>
      <c r="G51" s="15"/>
      <c r="I51" s="11" t="s">
        <v>44</v>
      </c>
      <c r="J51" s="11" t="s">
        <v>45</v>
      </c>
      <c r="K51" s="11" t="s">
        <v>46</v>
      </c>
      <c r="L51" s="11" t="s">
        <v>47</v>
      </c>
      <c r="M51" s="11" t="s">
        <v>48</v>
      </c>
      <c r="N51" s="11" t="s">
        <v>49</v>
      </c>
      <c r="O51" s="11" t="s">
        <v>50</v>
      </c>
      <c r="P51" s="11" t="s">
        <v>51</v>
      </c>
      <c r="Q51" s="11" t="s">
        <v>52</v>
      </c>
      <c r="R51" s="11" t="s">
        <v>53</v>
      </c>
      <c r="S51" s="11" t="s">
        <v>54</v>
      </c>
      <c r="T51" s="11" t="s">
        <v>55</v>
      </c>
      <c r="U51" s="11" t="s">
        <v>56</v>
      </c>
      <c r="V51" s="11" t="s">
        <v>57</v>
      </c>
      <c r="W51" s="11" t="s">
        <v>58</v>
      </c>
      <c r="X51" s="11" t="s">
        <v>59</v>
      </c>
      <c r="Y51" s="11" t="s">
        <v>60</v>
      </c>
      <c r="Z51" s="11" t="s">
        <v>61</v>
      </c>
      <c r="AA51" s="11" t="s">
        <v>62</v>
      </c>
      <c r="AB51" s="11" t="s">
        <v>63</v>
      </c>
      <c r="AC51" s="11" t="s">
        <v>64</v>
      </c>
      <c r="AD51" s="11" t="s">
        <v>65</v>
      </c>
      <c r="AE51" s="11" t="s">
        <v>66</v>
      </c>
      <c r="AF51" s="11" t="s">
        <v>67</v>
      </c>
      <c r="AG51" s="11" t="s">
        <v>68</v>
      </c>
      <c r="AH51" s="11" t="s">
        <v>69</v>
      </c>
      <c r="AI51" s="11" t="s">
        <v>70</v>
      </c>
      <c r="AJ51" s="11" t="s">
        <v>71</v>
      </c>
      <c r="AK51" s="11" t="s">
        <v>72</v>
      </c>
      <c r="AL51" s="11" t="s">
        <v>73</v>
      </c>
      <c r="AM51" s="11" t="s">
        <v>74</v>
      </c>
    </row>
    <row r="52" spans="2:39" x14ac:dyDescent="0.2">
      <c r="B52" s="22" t="str">
        <f>'Wzorzec kategorii'!B15</f>
        <v>Wynagrodzenie</v>
      </c>
      <c r="C52" s="19">
        <v>0</v>
      </c>
      <c r="D52" s="47">
        <f>SUM(Tabela33064224[#This Row])</f>
        <v>0</v>
      </c>
      <c r="E52" s="20">
        <f>Tabela718195[[#This Row],[Kolumna3]]-Tabela718195[[#This Row],[Kolumna2]]</f>
        <v>0</v>
      </c>
      <c r="F52" s="21" t="str">
        <f t="shared" ref="F52:F66" si="1">IFERROR(D52/C52,"")</f>
        <v/>
      </c>
      <c r="G52" s="2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ht="30" x14ac:dyDescent="0.2">
      <c r="B53" s="22" t="str">
        <f>'Wzorzec kategorii'!B16</f>
        <v>Wynagrodzenie Partnera / Partnerki</v>
      </c>
      <c r="C53" s="19">
        <v>0</v>
      </c>
      <c r="D53" s="47">
        <f>SUM(Tabela33064224[#This Row])</f>
        <v>0</v>
      </c>
      <c r="E53" s="20">
        <f>Tabela718195[[#This Row],[Kolumna3]]-Tabela718195[[#This Row],[Kolumna2]]</f>
        <v>0</v>
      </c>
      <c r="F53" s="21" t="str">
        <f t="shared" si="1"/>
        <v/>
      </c>
      <c r="G53" s="2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x14ac:dyDescent="0.2">
      <c r="B54" s="22" t="str">
        <f>'Wzorzec kategorii'!B17</f>
        <v>Premia</v>
      </c>
      <c r="C54" s="19">
        <v>0</v>
      </c>
      <c r="D54" s="47">
        <f>SUM(Tabela33064224[#This Row])</f>
        <v>0</v>
      </c>
      <c r="E54" s="20">
        <f>Tabela718195[[#This Row],[Kolumna3]]-Tabela718195[[#This Row],[Kolumna2]]</f>
        <v>0</v>
      </c>
      <c r="F54" s="21" t="str">
        <f t="shared" si="1"/>
        <v/>
      </c>
      <c r="G54" s="2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x14ac:dyDescent="0.2">
      <c r="B55" s="22" t="str">
        <f>'Wzorzec kategorii'!B18</f>
        <v>Przychody z premii bankowych</v>
      </c>
      <c r="C55" s="19">
        <v>0</v>
      </c>
      <c r="D55" s="47">
        <f>SUM(Tabela33064224[#This Row])</f>
        <v>0</v>
      </c>
      <c r="E55" s="20">
        <f>Tabela718195[[#This Row],[Kolumna3]]-Tabela718195[[#This Row],[Kolumna2]]</f>
        <v>0</v>
      </c>
      <c r="F55" s="21" t="str">
        <f t="shared" si="1"/>
        <v/>
      </c>
      <c r="G55" s="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x14ac:dyDescent="0.2">
      <c r="B56" s="22" t="str">
        <f>'Wzorzec kategorii'!B19</f>
        <v>Odsetki bankowe</v>
      </c>
      <c r="C56" s="19">
        <v>0</v>
      </c>
      <c r="D56" s="47">
        <f>SUM(Tabela33064224[#This Row])</f>
        <v>0</v>
      </c>
      <c r="E56" s="20">
        <f>Tabela718195[[#This Row],[Kolumna3]]-Tabela718195[[#This Row],[Kolumna2]]</f>
        <v>0</v>
      </c>
      <c r="F56" s="21" t="str">
        <f t="shared" si="1"/>
        <v/>
      </c>
      <c r="G56" s="2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2:39" x14ac:dyDescent="0.2">
      <c r="B57" s="22" t="str">
        <f>'Wzorzec kategorii'!B20</f>
        <v>Sprzedaż na Allegro itp.</v>
      </c>
      <c r="C57" s="19">
        <v>0</v>
      </c>
      <c r="D57" s="47">
        <f>SUM(Tabela33064224[#This Row])</f>
        <v>0</v>
      </c>
      <c r="E57" s="20">
        <f>Tabela718195[[#This Row],[Kolumna3]]-Tabela718195[[#This Row],[Kolumna2]]</f>
        <v>0</v>
      </c>
      <c r="F57" s="21" t="str">
        <f t="shared" si="1"/>
        <v/>
      </c>
      <c r="G57" s="2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9" x14ac:dyDescent="0.2">
      <c r="B58" s="22" t="str">
        <f>'Wzorzec kategorii'!B21</f>
        <v>Inne przychody</v>
      </c>
      <c r="C58" s="19">
        <v>0</v>
      </c>
      <c r="D58" s="47">
        <f>SUM(Tabela33064224[#This Row])</f>
        <v>0</v>
      </c>
      <c r="E58" s="20">
        <f>Tabela718195[[#This Row],[Kolumna3]]-Tabela718195[[#This Row],[Kolumna2]]</f>
        <v>0</v>
      </c>
      <c r="F58" s="21" t="str">
        <f t="shared" si="1"/>
        <v/>
      </c>
      <c r="G58" s="2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2:39" x14ac:dyDescent="0.2">
      <c r="B59" s="22" t="str">
        <f>'Wzorzec kategorii'!B22</f>
        <v>.</v>
      </c>
      <c r="C59" s="19">
        <v>0</v>
      </c>
      <c r="D59" s="47">
        <f>SUM(Tabela33064224[#This Row])</f>
        <v>0</v>
      </c>
      <c r="E59" s="20">
        <f>Tabela718195[[#This Row],[Kolumna3]]-Tabela718195[[#This Row],[Kolumna2]]</f>
        <v>0</v>
      </c>
      <c r="F59" s="53" t="str">
        <f t="shared" si="1"/>
        <v/>
      </c>
      <c r="G59" s="2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2:39" x14ac:dyDescent="0.2">
      <c r="B60" s="22" t="str">
        <f>'Wzorzec kategorii'!B23</f>
        <v>.</v>
      </c>
      <c r="C60" s="19">
        <v>0</v>
      </c>
      <c r="D60" s="47">
        <f>SUM(Tabela33064224[#This Row])</f>
        <v>0</v>
      </c>
      <c r="E60" s="20">
        <f>Tabela718195[[#This Row],[Kolumna3]]-Tabela718195[[#This Row],[Kolumna2]]</f>
        <v>0</v>
      </c>
      <c r="F60" s="53" t="str">
        <f t="shared" si="1"/>
        <v/>
      </c>
      <c r="G60" s="2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2:39" x14ac:dyDescent="0.2">
      <c r="B61" s="22" t="str">
        <f>'Wzorzec kategorii'!B24</f>
        <v>.</v>
      </c>
      <c r="C61" s="19">
        <v>0</v>
      </c>
      <c r="D61" s="47">
        <f>SUM(Tabela33064224[#This Row])</f>
        <v>0</v>
      </c>
      <c r="E61" s="20">
        <f>Tabela718195[[#This Row],[Kolumna3]]-Tabela718195[[#This Row],[Kolumna2]]</f>
        <v>0</v>
      </c>
      <c r="F61" s="53" t="str">
        <f t="shared" si="1"/>
        <v/>
      </c>
      <c r="G61" s="2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2:39" x14ac:dyDescent="0.2">
      <c r="B62" s="22" t="str">
        <f>'Wzorzec kategorii'!B25</f>
        <v>.</v>
      </c>
      <c r="C62" s="19">
        <v>0</v>
      </c>
      <c r="D62" s="47">
        <f>SUM(Tabela33064224[#This Row])</f>
        <v>0</v>
      </c>
      <c r="E62" s="20">
        <f>Tabela718195[[#This Row],[Kolumna3]]-Tabela718195[[#This Row],[Kolumna2]]</f>
        <v>0</v>
      </c>
      <c r="F62" s="53" t="str">
        <f t="shared" si="1"/>
        <v/>
      </c>
      <c r="G62" s="2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:39" x14ac:dyDescent="0.2">
      <c r="B63" s="22" t="str">
        <f>'Wzorzec kategorii'!B26</f>
        <v>.</v>
      </c>
      <c r="C63" s="19">
        <v>0</v>
      </c>
      <c r="D63" s="47">
        <f>SUM(Tabela33064224[#This Row])</f>
        <v>0</v>
      </c>
      <c r="E63" s="20">
        <f>Tabela718195[[#This Row],[Kolumna3]]-Tabela718195[[#This Row],[Kolumna2]]</f>
        <v>0</v>
      </c>
      <c r="F63" s="53" t="str">
        <f t="shared" si="1"/>
        <v/>
      </c>
      <c r="G63" s="2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x14ac:dyDescent="0.2">
      <c r="B64" s="22" t="str">
        <f>'Wzorzec kategorii'!B27</f>
        <v>.</v>
      </c>
      <c r="C64" s="19">
        <v>0</v>
      </c>
      <c r="D64" s="47">
        <f>SUM(Tabela33064224[#This Row])</f>
        <v>0</v>
      </c>
      <c r="E64" s="20">
        <f>Tabela718195[[#This Row],[Kolumna3]]-Tabela718195[[#This Row],[Kolumna2]]</f>
        <v>0</v>
      </c>
      <c r="F64" s="53" t="str">
        <f t="shared" si="1"/>
        <v/>
      </c>
      <c r="G64" s="2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:39" x14ac:dyDescent="0.2">
      <c r="B65" s="22" t="str">
        <f>'Wzorzec kategorii'!B28</f>
        <v>.</v>
      </c>
      <c r="C65" s="19">
        <v>0</v>
      </c>
      <c r="D65" s="47">
        <f>SUM(Tabela33064224[#This Row])</f>
        <v>0</v>
      </c>
      <c r="E65" s="20">
        <f>Tabela718195[[#This Row],[Kolumna3]]-Tabela718195[[#This Row],[Kolumna2]]</f>
        <v>0</v>
      </c>
      <c r="F65" s="53" t="str">
        <f t="shared" si="1"/>
        <v/>
      </c>
      <c r="G65" s="2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39" x14ac:dyDescent="0.2">
      <c r="B66" s="22" t="str">
        <f>'Wzorzec kategorii'!B29</f>
        <v>.</v>
      </c>
      <c r="C66" s="19">
        <v>0</v>
      </c>
      <c r="D66" s="47">
        <f>SUM(Tabela33064224[#This Row])</f>
        <v>0</v>
      </c>
      <c r="E66" s="20">
        <f>Tabela718195[[#This Row],[Kolumna3]]-Tabela718195[[#This Row],[Kolumna2]]</f>
        <v>0</v>
      </c>
      <c r="F66" s="53" t="str">
        <f t="shared" si="1"/>
        <v/>
      </c>
      <c r="G66" s="2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:39" x14ac:dyDescent="0.2">
      <c r="B67" s="5" t="s">
        <v>30</v>
      </c>
    </row>
    <row r="68" spans="2:39" ht="21" x14ac:dyDescent="0.25">
      <c r="B68" s="44" t="s">
        <v>25</v>
      </c>
      <c r="I68" s="7" t="s">
        <v>43</v>
      </c>
    </row>
    <row r="70" spans="2:39" ht="30" x14ac:dyDescent="0.2">
      <c r="B70" s="8" t="s">
        <v>0</v>
      </c>
      <c r="C70" s="9" t="s">
        <v>131</v>
      </c>
      <c r="D70" s="10" t="s">
        <v>135</v>
      </c>
      <c r="E70" s="8" t="s">
        <v>129</v>
      </c>
      <c r="F70" s="9" t="s">
        <v>140</v>
      </c>
      <c r="G70" s="8" t="s">
        <v>41</v>
      </c>
      <c r="I70" s="41" t="s">
        <v>142</v>
      </c>
    </row>
    <row r="71" spans="2:39" ht="24" customHeight="1" x14ac:dyDescent="0.2">
      <c r="B71" s="39" t="s">
        <v>139</v>
      </c>
      <c r="C71" s="40">
        <f>C73+C85+C97+C109+C121+C133+C145+C157+C169+C181+C193+C205+C217+C229+C241</f>
        <v>0</v>
      </c>
      <c r="D71" s="40">
        <f>D73+D85+D97+D109+D121+D133+D145+D157+D169+D181+D193+D205+D217+D229+D241</f>
        <v>0</v>
      </c>
      <c r="E71" s="40">
        <f>C71-D71</f>
        <v>0</v>
      </c>
      <c r="F71" s="8" t="s">
        <v>141</v>
      </c>
      <c r="G71" s="8"/>
      <c r="I71" s="43">
        <f>SUM(I73:I251)</f>
        <v>0</v>
      </c>
      <c r="J71" s="43">
        <f>SUM(J73:J251)</f>
        <v>0</v>
      </c>
      <c r="K71" s="43">
        <f t="shared" ref="K71:AM71" si="2">SUM(K73:K251)</f>
        <v>0</v>
      </c>
      <c r="L71" s="43">
        <f t="shared" si="2"/>
        <v>0</v>
      </c>
      <c r="M71" s="43">
        <f t="shared" si="2"/>
        <v>0</v>
      </c>
      <c r="N71" s="43">
        <f t="shared" si="2"/>
        <v>0</v>
      </c>
      <c r="O71" s="43">
        <f t="shared" si="2"/>
        <v>0</v>
      </c>
      <c r="P71" s="43">
        <f t="shared" si="2"/>
        <v>0</v>
      </c>
      <c r="Q71" s="43">
        <f t="shared" si="2"/>
        <v>0</v>
      </c>
      <c r="R71" s="43">
        <f t="shared" si="2"/>
        <v>0</v>
      </c>
      <c r="S71" s="43">
        <f t="shared" si="2"/>
        <v>0</v>
      </c>
      <c r="T71" s="43">
        <f t="shared" si="2"/>
        <v>0</v>
      </c>
      <c r="U71" s="43">
        <f t="shared" si="2"/>
        <v>0</v>
      </c>
      <c r="V71" s="43">
        <f t="shared" si="2"/>
        <v>0</v>
      </c>
      <c r="W71" s="43">
        <f t="shared" si="2"/>
        <v>0</v>
      </c>
      <c r="X71" s="43">
        <f t="shared" si="2"/>
        <v>0</v>
      </c>
      <c r="Y71" s="43">
        <f t="shared" si="2"/>
        <v>0</v>
      </c>
      <c r="Z71" s="43">
        <f t="shared" si="2"/>
        <v>0</v>
      </c>
      <c r="AA71" s="43">
        <f t="shared" si="2"/>
        <v>0</v>
      </c>
      <c r="AB71" s="43">
        <f t="shared" si="2"/>
        <v>0</v>
      </c>
      <c r="AC71" s="43">
        <f t="shared" si="2"/>
        <v>0</v>
      </c>
      <c r="AD71" s="43">
        <f t="shared" si="2"/>
        <v>0</v>
      </c>
      <c r="AE71" s="43">
        <f t="shared" si="2"/>
        <v>0</v>
      </c>
      <c r="AF71" s="43">
        <f t="shared" si="2"/>
        <v>0</v>
      </c>
      <c r="AG71" s="43">
        <f t="shared" si="2"/>
        <v>0</v>
      </c>
      <c r="AH71" s="43">
        <f t="shared" si="2"/>
        <v>0</v>
      </c>
      <c r="AI71" s="43">
        <f t="shared" si="2"/>
        <v>0</v>
      </c>
      <c r="AJ71" s="43">
        <f t="shared" si="2"/>
        <v>0</v>
      </c>
      <c r="AK71" s="43">
        <f t="shared" si="2"/>
        <v>0</v>
      </c>
      <c r="AL71" s="43">
        <f t="shared" si="2"/>
        <v>0</v>
      </c>
      <c r="AM71" s="43">
        <f t="shared" si="2"/>
        <v>0</v>
      </c>
    </row>
    <row r="73" spans="2:39" x14ac:dyDescent="0.2">
      <c r="B73" s="14" t="str">
        <f>'Wzorzec kategorii'!B35</f>
        <v>Jedzenie</v>
      </c>
      <c r="C73" s="15">
        <f>SUM(Jedzenie2193[[#All],[0]])</f>
        <v>0</v>
      </c>
      <c r="D73" s="16">
        <f>SUM(Jedzenie2193[[#All],[02]])</f>
        <v>0</v>
      </c>
      <c r="E73" s="15">
        <f t="shared" ref="E73:E83" si="3">C73-D73</f>
        <v>0</v>
      </c>
      <c r="F73" s="17" t="str">
        <f t="shared" ref="F73:F83" si="4">IFERROR(D73/C73,"")</f>
        <v/>
      </c>
      <c r="G73" s="23"/>
      <c r="I73" s="11" t="s">
        <v>44</v>
      </c>
      <c r="J73" s="11" t="s">
        <v>45</v>
      </c>
      <c r="K73" s="11" t="s">
        <v>46</v>
      </c>
      <c r="L73" s="11" t="s">
        <v>47</v>
      </c>
      <c r="M73" s="11" t="s">
        <v>48</v>
      </c>
      <c r="N73" s="11" t="s">
        <v>49</v>
      </c>
      <c r="O73" s="11" t="s">
        <v>50</v>
      </c>
      <c r="P73" s="11" t="s">
        <v>51</v>
      </c>
      <c r="Q73" s="11" t="s">
        <v>52</v>
      </c>
      <c r="R73" s="11" t="s">
        <v>53</v>
      </c>
      <c r="S73" s="11" t="s">
        <v>54</v>
      </c>
      <c r="T73" s="11" t="s">
        <v>55</v>
      </c>
      <c r="U73" s="11" t="s">
        <v>56</v>
      </c>
      <c r="V73" s="11" t="s">
        <v>57</v>
      </c>
      <c r="W73" s="11" t="s">
        <v>58</v>
      </c>
      <c r="X73" s="11" t="s">
        <v>59</v>
      </c>
      <c r="Y73" s="11" t="s">
        <v>60</v>
      </c>
      <c r="Z73" s="11" t="s">
        <v>61</v>
      </c>
      <c r="AA73" s="11" t="s">
        <v>62</v>
      </c>
      <c r="AB73" s="11" t="s">
        <v>63</v>
      </c>
      <c r="AC73" s="11" t="s">
        <v>64</v>
      </c>
      <c r="AD73" s="11" t="s">
        <v>65</v>
      </c>
      <c r="AE73" s="11" t="s">
        <v>66</v>
      </c>
      <c r="AF73" s="11" t="s">
        <v>67</v>
      </c>
      <c r="AG73" s="11" t="s">
        <v>68</v>
      </c>
      <c r="AH73" s="11" t="s">
        <v>69</v>
      </c>
      <c r="AI73" s="11" t="s">
        <v>70</v>
      </c>
      <c r="AJ73" s="11" t="s">
        <v>71</v>
      </c>
      <c r="AK73" s="11" t="s">
        <v>72</v>
      </c>
      <c r="AL73" s="11" t="s">
        <v>73</v>
      </c>
      <c r="AM73" s="11" t="s">
        <v>74</v>
      </c>
    </row>
    <row r="74" spans="2:39" x14ac:dyDescent="0.2">
      <c r="B74" s="22" t="str">
        <f>'Wzorzec kategorii'!B36</f>
        <v>Jedzenie dom</v>
      </c>
      <c r="C74" s="19">
        <v>0</v>
      </c>
      <c r="D74" s="20">
        <f>SUM(Tabela330196[#This Row])</f>
        <v>0</v>
      </c>
      <c r="E74" s="20">
        <f t="shared" si="3"/>
        <v>0</v>
      </c>
      <c r="F74" s="21" t="str">
        <f t="shared" si="4"/>
        <v/>
      </c>
      <c r="G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2:39" x14ac:dyDescent="0.2">
      <c r="B75" s="22" t="str">
        <f>'Wzorzec kategorii'!B37</f>
        <v>Jedzenie miasto</v>
      </c>
      <c r="C75" s="19">
        <v>0</v>
      </c>
      <c r="D75" s="20">
        <f>SUM(Tabela330196[#This Row])</f>
        <v>0</v>
      </c>
      <c r="E75" s="20">
        <f t="shared" si="3"/>
        <v>0</v>
      </c>
      <c r="F75" s="21" t="str">
        <f t="shared" si="4"/>
        <v/>
      </c>
      <c r="G75" s="2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:39" x14ac:dyDescent="0.2">
      <c r="B76" s="22" t="str">
        <f>'Wzorzec kategorii'!B38</f>
        <v>Jedzenie praca</v>
      </c>
      <c r="C76" s="19">
        <v>0</v>
      </c>
      <c r="D76" s="20">
        <f>SUM(Tabela330196[#This Row])</f>
        <v>0</v>
      </c>
      <c r="E76" s="20">
        <f t="shared" si="3"/>
        <v>0</v>
      </c>
      <c r="F76" s="21" t="str">
        <f t="shared" si="4"/>
        <v/>
      </c>
      <c r="G76" s="2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2:39" x14ac:dyDescent="0.2">
      <c r="B77" s="22" t="str">
        <f>'Wzorzec kategorii'!B39</f>
        <v>Alkohol</v>
      </c>
      <c r="C77" s="19">
        <v>0</v>
      </c>
      <c r="D77" s="20">
        <f>SUM(Tabela330196[#This Row])</f>
        <v>0</v>
      </c>
      <c r="E77" s="20">
        <f t="shared" si="3"/>
        <v>0</v>
      </c>
      <c r="F77" s="21" t="str">
        <f t="shared" si="4"/>
        <v/>
      </c>
      <c r="G77" s="2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2:39" x14ac:dyDescent="0.2">
      <c r="B78" s="22" t="str">
        <f>'Wzorzec kategorii'!B40</f>
        <v>Inne</v>
      </c>
      <c r="C78" s="19">
        <v>0</v>
      </c>
      <c r="D78" s="20">
        <f>SUM(Tabela330196[#This Row])</f>
        <v>0</v>
      </c>
      <c r="E78" s="20">
        <f t="shared" si="3"/>
        <v>0</v>
      </c>
      <c r="F78" s="21" t="str">
        <f t="shared" si="4"/>
        <v/>
      </c>
      <c r="G78" s="2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:39" x14ac:dyDescent="0.2">
      <c r="B79" s="22" t="str">
        <f>'Wzorzec kategorii'!B41</f>
        <v>.</v>
      </c>
      <c r="C79" s="19">
        <v>0</v>
      </c>
      <c r="D79" s="20">
        <f>SUM(Tabela330196[#This Row])</f>
        <v>0</v>
      </c>
      <c r="E79" s="20">
        <f t="shared" si="3"/>
        <v>0</v>
      </c>
      <c r="F79" s="53" t="str">
        <f t="shared" si="4"/>
        <v/>
      </c>
      <c r="G79" s="5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:39" x14ac:dyDescent="0.2">
      <c r="B80" s="22" t="str">
        <f>'Wzorzec kategorii'!B42</f>
        <v>.</v>
      </c>
      <c r="C80" s="19">
        <v>0</v>
      </c>
      <c r="D80" s="20">
        <f>SUM(Tabela330196[#This Row])</f>
        <v>0</v>
      </c>
      <c r="E80" s="20">
        <f t="shared" si="3"/>
        <v>0</v>
      </c>
      <c r="F80" s="53" t="str">
        <f t="shared" si="4"/>
        <v/>
      </c>
      <c r="G80" s="5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2:41" x14ac:dyDescent="0.2">
      <c r="B81" s="22" t="str">
        <f>'Wzorzec kategorii'!B43</f>
        <v>.</v>
      </c>
      <c r="C81" s="19">
        <v>0</v>
      </c>
      <c r="D81" s="20">
        <f>SUM(Tabela330196[#This Row])</f>
        <v>0</v>
      </c>
      <c r="E81" s="20">
        <f t="shared" si="3"/>
        <v>0</v>
      </c>
      <c r="F81" s="53" t="str">
        <f t="shared" si="4"/>
        <v/>
      </c>
      <c r="G81" s="5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2:41" x14ac:dyDescent="0.2">
      <c r="B82" s="22" t="str">
        <f>'Wzorzec kategorii'!B44</f>
        <v>.</v>
      </c>
      <c r="C82" s="19">
        <v>0</v>
      </c>
      <c r="D82" s="20">
        <f>SUM(Tabela330196[#This Row])</f>
        <v>0</v>
      </c>
      <c r="E82" s="20">
        <f t="shared" si="3"/>
        <v>0</v>
      </c>
      <c r="F82" s="53" t="str">
        <f t="shared" si="4"/>
        <v/>
      </c>
      <c r="G82" s="5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2:41" x14ac:dyDescent="0.2">
      <c r="B83" s="22" t="str">
        <f>'Wzorzec kategorii'!B45</f>
        <v>.</v>
      </c>
      <c r="C83" s="19">
        <v>0</v>
      </c>
      <c r="D83" s="20">
        <f>SUM(Tabela330196[#This Row])</f>
        <v>0</v>
      </c>
      <c r="E83" s="20">
        <f t="shared" si="3"/>
        <v>0</v>
      </c>
      <c r="F83" s="53" t="str">
        <f t="shared" si="4"/>
        <v/>
      </c>
      <c r="G83" s="5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2:41" x14ac:dyDescent="0.2">
      <c r="B84" s="5" t="s">
        <v>30</v>
      </c>
      <c r="C84" s="6"/>
      <c r="D84" s="4"/>
      <c r="E84" s="4"/>
      <c r="F84" s="4"/>
      <c r="G84" s="4"/>
      <c r="I84" s="5" t="s">
        <v>30</v>
      </c>
    </row>
    <row r="85" spans="2:41" x14ac:dyDescent="0.2">
      <c r="B85" s="14" t="str">
        <f>'Wzorzec kategorii'!B47</f>
        <v>Mieszkanie / dom</v>
      </c>
      <c r="C85" s="15">
        <f>SUM(Tabela431197[[#All],[Kolumna2]])</f>
        <v>0</v>
      </c>
      <c r="D85" s="16">
        <f>SUM(Tabela431197[[#All],[Kolumna3]])</f>
        <v>0</v>
      </c>
      <c r="E85" s="15">
        <f>C85-D85</f>
        <v>0</v>
      </c>
      <c r="F85" s="17" t="str">
        <f>IFERROR(D85/C85,"")</f>
        <v/>
      </c>
      <c r="G85" s="23"/>
      <c r="I85" s="11" t="s">
        <v>44</v>
      </c>
      <c r="J85" s="11" t="s">
        <v>45</v>
      </c>
      <c r="K85" s="11" t="s">
        <v>46</v>
      </c>
      <c r="L85" s="11" t="s">
        <v>47</v>
      </c>
      <c r="M85" s="11" t="s">
        <v>48</v>
      </c>
      <c r="N85" s="11" t="s">
        <v>49</v>
      </c>
      <c r="O85" s="11" t="s">
        <v>50</v>
      </c>
      <c r="P85" s="11" t="s">
        <v>51</v>
      </c>
      <c r="Q85" s="11" t="s">
        <v>52</v>
      </c>
      <c r="R85" s="11" t="s">
        <v>53</v>
      </c>
      <c r="S85" s="11" t="s">
        <v>54</v>
      </c>
      <c r="T85" s="11" t="s">
        <v>55</v>
      </c>
      <c r="U85" s="11" t="s">
        <v>56</v>
      </c>
      <c r="V85" s="11" t="s">
        <v>57</v>
      </c>
      <c r="W85" s="11" t="s">
        <v>58</v>
      </c>
      <c r="X85" s="11" t="s">
        <v>59</v>
      </c>
      <c r="Y85" s="11" t="s">
        <v>60</v>
      </c>
      <c r="Z85" s="11" t="s">
        <v>61</v>
      </c>
      <c r="AA85" s="11" t="s">
        <v>62</v>
      </c>
      <c r="AB85" s="11" t="s">
        <v>63</v>
      </c>
      <c r="AC85" s="11" t="s">
        <v>64</v>
      </c>
      <c r="AD85" s="11" t="s">
        <v>65</v>
      </c>
      <c r="AE85" s="11" t="s">
        <v>66</v>
      </c>
      <c r="AF85" s="11" t="s">
        <v>67</v>
      </c>
      <c r="AG85" s="11" t="s">
        <v>68</v>
      </c>
      <c r="AH85" s="11" t="s">
        <v>69</v>
      </c>
      <c r="AI85" s="11" t="s">
        <v>70</v>
      </c>
      <c r="AJ85" s="11" t="s">
        <v>71</v>
      </c>
      <c r="AK85" s="11" t="s">
        <v>72</v>
      </c>
      <c r="AL85" s="11" t="s">
        <v>73</v>
      </c>
      <c r="AM85" s="11" t="s">
        <v>74</v>
      </c>
      <c r="AN85" s="25"/>
      <c r="AO85" s="25"/>
    </row>
    <row r="86" spans="2:41" x14ac:dyDescent="0.2">
      <c r="B86" s="22" t="str">
        <f>'Wzorzec kategorii'!B48</f>
        <v>Czynsz</v>
      </c>
      <c r="C86" s="19">
        <v>0</v>
      </c>
      <c r="D86" s="20">
        <f>SUM(Tabela1841207[#This Row])</f>
        <v>0</v>
      </c>
      <c r="E86" s="20">
        <f t="shared" ref="E86:E95" si="5">C86-D86</f>
        <v>0</v>
      </c>
      <c r="F86" s="21" t="str">
        <f t="shared" ref="F86:F95" si="6">IFERROR(D86/C86,"")</f>
        <v/>
      </c>
      <c r="G86" s="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25"/>
      <c r="AO86" s="25"/>
    </row>
    <row r="87" spans="2:41" x14ac:dyDescent="0.2">
      <c r="B87" s="22" t="str">
        <f>'Wzorzec kategorii'!B49</f>
        <v>Woda i kanalizacja</v>
      </c>
      <c r="C87" s="19">
        <v>0</v>
      </c>
      <c r="D87" s="20">
        <f>SUM(Tabela1841207[#This Row])</f>
        <v>0</v>
      </c>
      <c r="E87" s="20">
        <f t="shared" si="5"/>
        <v>0</v>
      </c>
      <c r="F87" s="21" t="str">
        <f t="shared" si="6"/>
        <v/>
      </c>
      <c r="G87" s="2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25"/>
      <c r="AO87" s="25"/>
    </row>
    <row r="88" spans="2:41" x14ac:dyDescent="0.2">
      <c r="B88" s="22" t="str">
        <f>'Wzorzec kategorii'!B50</f>
        <v>Prąd</v>
      </c>
      <c r="C88" s="19">
        <v>0</v>
      </c>
      <c r="D88" s="20">
        <f>SUM(Tabela1841207[#This Row])</f>
        <v>0</v>
      </c>
      <c r="E88" s="20">
        <f t="shared" si="5"/>
        <v>0</v>
      </c>
      <c r="F88" s="21" t="str">
        <f t="shared" si="6"/>
        <v/>
      </c>
      <c r="G88" s="2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25"/>
      <c r="AO88" s="25"/>
    </row>
    <row r="89" spans="2:41" x14ac:dyDescent="0.2">
      <c r="B89" s="22" t="str">
        <f>'Wzorzec kategorii'!B51</f>
        <v>Gaz</v>
      </c>
      <c r="C89" s="19">
        <v>0</v>
      </c>
      <c r="D89" s="20">
        <f>SUM(Tabela1841207[#This Row])</f>
        <v>0</v>
      </c>
      <c r="E89" s="20">
        <f t="shared" si="5"/>
        <v>0</v>
      </c>
      <c r="F89" s="21" t="str">
        <f t="shared" si="6"/>
        <v/>
      </c>
      <c r="G89" s="2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25"/>
      <c r="AO89" s="25"/>
    </row>
    <row r="90" spans="2:41" x14ac:dyDescent="0.2">
      <c r="B90" s="22" t="str">
        <f>'Wzorzec kategorii'!B52</f>
        <v>Ogrzewanie</v>
      </c>
      <c r="C90" s="19">
        <v>0</v>
      </c>
      <c r="D90" s="20">
        <f>SUM(Tabela1841207[#This Row])</f>
        <v>0</v>
      </c>
      <c r="E90" s="20">
        <f t="shared" si="5"/>
        <v>0</v>
      </c>
      <c r="F90" s="21" t="str">
        <f t="shared" si="6"/>
        <v/>
      </c>
      <c r="G90" s="24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25"/>
      <c r="AO90" s="25"/>
    </row>
    <row r="91" spans="2:41" x14ac:dyDescent="0.2">
      <c r="B91" s="22" t="str">
        <f>'Wzorzec kategorii'!B53</f>
        <v>Wywóz śmieci</v>
      </c>
      <c r="C91" s="19">
        <v>0</v>
      </c>
      <c r="D91" s="20">
        <f>SUM(Tabela1841207[#This Row])</f>
        <v>0</v>
      </c>
      <c r="E91" s="20">
        <f t="shared" si="5"/>
        <v>0</v>
      </c>
      <c r="F91" s="21" t="str">
        <f t="shared" si="6"/>
        <v/>
      </c>
      <c r="G91" s="24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25"/>
      <c r="AO91" s="25"/>
    </row>
    <row r="92" spans="2:41" x14ac:dyDescent="0.2">
      <c r="B92" s="22" t="str">
        <f>'Wzorzec kategorii'!B54</f>
        <v>Konserwacja i naprawy</v>
      </c>
      <c r="C92" s="19">
        <v>0</v>
      </c>
      <c r="D92" s="20">
        <f>SUM(Tabela1841207[#This Row])</f>
        <v>0</v>
      </c>
      <c r="E92" s="20">
        <f t="shared" si="5"/>
        <v>0</v>
      </c>
      <c r="F92" s="21" t="str">
        <f t="shared" si="6"/>
        <v/>
      </c>
      <c r="G92" s="2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25"/>
      <c r="AO92" s="25"/>
    </row>
    <row r="93" spans="2:41" x14ac:dyDescent="0.2">
      <c r="B93" s="22" t="str">
        <f>'Wzorzec kategorii'!B55</f>
        <v>Wyposażenie</v>
      </c>
      <c r="C93" s="19">
        <v>0</v>
      </c>
      <c r="D93" s="20">
        <f>SUM(Tabela1841207[#This Row])</f>
        <v>0</v>
      </c>
      <c r="E93" s="20">
        <f t="shared" si="5"/>
        <v>0</v>
      </c>
      <c r="F93" s="21" t="str">
        <f t="shared" si="6"/>
        <v/>
      </c>
      <c r="G93" s="2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25"/>
      <c r="AO93" s="25"/>
    </row>
    <row r="94" spans="2:41" x14ac:dyDescent="0.2">
      <c r="B94" s="22" t="str">
        <f>'Wzorzec kategorii'!B56</f>
        <v>Ubezpieczenie nieruchomości</v>
      </c>
      <c r="C94" s="19">
        <v>0</v>
      </c>
      <c r="D94" s="20">
        <f>SUM(Tabela1841207[#This Row])</f>
        <v>0</v>
      </c>
      <c r="E94" s="20">
        <f t="shared" si="5"/>
        <v>0</v>
      </c>
      <c r="F94" s="21" t="str">
        <f t="shared" si="6"/>
        <v/>
      </c>
      <c r="G94" s="2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25"/>
      <c r="AO94" s="25"/>
    </row>
    <row r="95" spans="2:41" x14ac:dyDescent="0.2">
      <c r="B95" s="22" t="str">
        <f>'Wzorzec kategorii'!B57</f>
        <v>Inne</v>
      </c>
      <c r="C95" s="19">
        <v>0</v>
      </c>
      <c r="D95" s="20">
        <f>SUM(Tabela1841207[#This Row])</f>
        <v>0</v>
      </c>
      <c r="E95" s="20">
        <f t="shared" si="5"/>
        <v>0</v>
      </c>
      <c r="F95" s="21" t="str">
        <f t="shared" si="6"/>
        <v/>
      </c>
      <c r="G95" s="2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25"/>
      <c r="AO95" s="25"/>
    </row>
    <row r="96" spans="2:41" x14ac:dyDescent="0.2">
      <c r="B96" s="5" t="s">
        <v>30</v>
      </c>
      <c r="C96" s="6"/>
      <c r="D96" s="4"/>
      <c r="E96" s="4"/>
      <c r="F96" s="4"/>
      <c r="G96" s="4"/>
      <c r="I96" s="26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</row>
    <row r="97" spans="2:41" x14ac:dyDescent="0.2">
      <c r="B97" s="2" t="str">
        <f>'Wzorzec kategorii'!B59</f>
        <v>Transport</v>
      </c>
      <c r="C97" s="3">
        <f>SUM(Transport3194[[#All],[Kolumna2]])</f>
        <v>0</v>
      </c>
      <c r="D97" s="16">
        <f>SUM(Transport3194[[#All],[Kolumna3]])</f>
        <v>0</v>
      </c>
      <c r="E97" s="3">
        <f>C97-D97</f>
        <v>0</v>
      </c>
      <c r="F97" s="17" t="str">
        <f>IFERROR(D97/C97,"")</f>
        <v/>
      </c>
      <c r="G97" s="3"/>
      <c r="I97" s="11" t="s">
        <v>44</v>
      </c>
      <c r="J97" s="11" t="s">
        <v>45</v>
      </c>
      <c r="K97" s="11" t="s">
        <v>46</v>
      </c>
      <c r="L97" s="11" t="s">
        <v>47</v>
      </c>
      <c r="M97" s="11" t="s">
        <v>48</v>
      </c>
      <c r="N97" s="11" t="s">
        <v>49</v>
      </c>
      <c r="O97" s="11" t="s">
        <v>50</v>
      </c>
      <c r="P97" s="11" t="s">
        <v>51</v>
      </c>
      <c r="Q97" s="11" t="s">
        <v>52</v>
      </c>
      <c r="R97" s="11" t="s">
        <v>53</v>
      </c>
      <c r="S97" s="11" t="s">
        <v>54</v>
      </c>
      <c r="T97" s="11" t="s">
        <v>55</v>
      </c>
      <c r="U97" s="11" t="s">
        <v>56</v>
      </c>
      <c r="V97" s="11" t="s">
        <v>57</v>
      </c>
      <c r="W97" s="11" t="s">
        <v>58</v>
      </c>
      <c r="X97" s="11" t="s">
        <v>59</v>
      </c>
      <c r="Y97" s="11" t="s">
        <v>60</v>
      </c>
      <c r="Z97" s="11" t="s">
        <v>61</v>
      </c>
      <c r="AA97" s="11" t="s">
        <v>62</v>
      </c>
      <c r="AB97" s="11" t="s">
        <v>63</v>
      </c>
      <c r="AC97" s="11" t="s">
        <v>64</v>
      </c>
      <c r="AD97" s="11" t="s">
        <v>65</v>
      </c>
      <c r="AE97" s="11" t="s">
        <v>66</v>
      </c>
      <c r="AF97" s="11" t="s">
        <v>67</v>
      </c>
      <c r="AG97" s="11" t="s">
        <v>68</v>
      </c>
      <c r="AH97" s="11" t="s">
        <v>69</v>
      </c>
      <c r="AI97" s="11" t="s">
        <v>70</v>
      </c>
      <c r="AJ97" s="11" t="s">
        <v>71</v>
      </c>
      <c r="AK97" s="11" t="s">
        <v>72</v>
      </c>
      <c r="AL97" s="11" t="s">
        <v>73</v>
      </c>
      <c r="AM97" s="11" t="s">
        <v>74</v>
      </c>
      <c r="AN97" s="25"/>
      <c r="AO97" s="25"/>
    </row>
    <row r="98" spans="2:41" x14ac:dyDescent="0.2">
      <c r="B98" s="22" t="str">
        <f>'Wzorzec kategorii'!B60</f>
        <v>Paliwo do auta</v>
      </c>
      <c r="C98" s="19">
        <v>0</v>
      </c>
      <c r="D98" s="20">
        <f>SUM(Tabela1942208[#This Row])</f>
        <v>0</v>
      </c>
      <c r="E98" s="20">
        <f t="shared" ref="E98:E107" si="7">C98-D98</f>
        <v>0</v>
      </c>
      <c r="F98" s="21" t="str">
        <f t="shared" ref="F98:F107" si="8">IFERROR(D98/C98,"")</f>
        <v/>
      </c>
      <c r="G98" s="24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25"/>
      <c r="AO98" s="25"/>
    </row>
    <row r="99" spans="2:41" x14ac:dyDescent="0.2">
      <c r="B99" s="22" t="str">
        <f>'Wzorzec kategorii'!B61</f>
        <v>Przeglądy i naprawy auta</v>
      </c>
      <c r="C99" s="19">
        <v>0</v>
      </c>
      <c r="D99" s="20">
        <f>SUM(Tabela1942208[#This Row])</f>
        <v>0</v>
      </c>
      <c r="E99" s="20">
        <f t="shared" si="7"/>
        <v>0</v>
      </c>
      <c r="F99" s="21" t="str">
        <f t="shared" si="8"/>
        <v/>
      </c>
      <c r="G99" s="2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25"/>
      <c r="AO99" s="25"/>
    </row>
    <row r="100" spans="2:41" ht="30" x14ac:dyDescent="0.2">
      <c r="B100" s="22" t="str">
        <f>'Wzorzec kategorii'!B62</f>
        <v>Wyposażenie dodatkowe (opony)</v>
      </c>
      <c r="C100" s="19">
        <v>0</v>
      </c>
      <c r="D100" s="20">
        <f>SUM(Tabela1942208[#This Row])</f>
        <v>0</v>
      </c>
      <c r="E100" s="20">
        <f t="shared" si="7"/>
        <v>0</v>
      </c>
      <c r="F100" s="21" t="str">
        <f t="shared" si="8"/>
        <v/>
      </c>
      <c r="G100" s="2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25"/>
      <c r="AO100" s="25"/>
    </row>
    <row r="101" spans="2:41" x14ac:dyDescent="0.2">
      <c r="B101" s="22" t="str">
        <f>'Wzorzec kategorii'!B63</f>
        <v>Ubezpieczenie auta</v>
      </c>
      <c r="C101" s="19">
        <v>0</v>
      </c>
      <c r="D101" s="20">
        <f>SUM(Tabela1942208[#This Row])</f>
        <v>0</v>
      </c>
      <c r="E101" s="20">
        <f t="shared" si="7"/>
        <v>0</v>
      </c>
      <c r="F101" s="21" t="str">
        <f t="shared" si="8"/>
        <v/>
      </c>
      <c r="G101" s="2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25"/>
      <c r="AO101" s="25"/>
    </row>
    <row r="102" spans="2:41" x14ac:dyDescent="0.2">
      <c r="B102" s="22" t="str">
        <f>'Wzorzec kategorii'!B64</f>
        <v>Bilet komunikacji miejskiej</v>
      </c>
      <c r="C102" s="19">
        <v>0</v>
      </c>
      <c r="D102" s="20">
        <f>SUM(Tabela1942208[#This Row])</f>
        <v>0</v>
      </c>
      <c r="E102" s="20">
        <f t="shared" si="7"/>
        <v>0</v>
      </c>
      <c r="F102" s="21" t="str">
        <f t="shared" si="8"/>
        <v/>
      </c>
      <c r="G102" s="2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25"/>
      <c r="AO102" s="25"/>
    </row>
    <row r="103" spans="2:41" x14ac:dyDescent="0.2">
      <c r="B103" s="22" t="str">
        <f>'Wzorzec kategorii'!B65</f>
        <v>Bilet PKP, PKS</v>
      </c>
      <c r="C103" s="19">
        <v>0</v>
      </c>
      <c r="D103" s="20">
        <f>SUM(Tabela1942208[#This Row])</f>
        <v>0</v>
      </c>
      <c r="E103" s="20">
        <f t="shared" si="7"/>
        <v>0</v>
      </c>
      <c r="F103" s="21" t="str">
        <f t="shared" si="8"/>
        <v/>
      </c>
      <c r="G103" s="24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25"/>
      <c r="AO103" s="25"/>
    </row>
    <row r="104" spans="2:41" x14ac:dyDescent="0.2">
      <c r="B104" s="22" t="str">
        <f>'Wzorzec kategorii'!B66</f>
        <v>Taxi</v>
      </c>
      <c r="C104" s="19">
        <v>0</v>
      </c>
      <c r="D104" s="20">
        <f>SUM(Tabela1942208[#This Row])</f>
        <v>0</v>
      </c>
      <c r="E104" s="20">
        <f t="shared" si="7"/>
        <v>0</v>
      </c>
      <c r="F104" s="21" t="str">
        <f t="shared" si="8"/>
        <v/>
      </c>
      <c r="G104" s="24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25"/>
      <c r="AO104" s="25"/>
    </row>
    <row r="105" spans="2:41" x14ac:dyDescent="0.2">
      <c r="B105" s="22" t="str">
        <f>'Wzorzec kategorii'!B67</f>
        <v>Inne</v>
      </c>
      <c r="C105" s="19">
        <v>0</v>
      </c>
      <c r="D105" s="20">
        <f>SUM(Tabela1942208[#This Row])</f>
        <v>0</v>
      </c>
      <c r="E105" s="20">
        <f t="shared" si="7"/>
        <v>0</v>
      </c>
      <c r="F105" s="21" t="str">
        <f t="shared" si="8"/>
        <v/>
      </c>
      <c r="G105" s="2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25"/>
      <c r="AO105" s="25"/>
    </row>
    <row r="106" spans="2:41" x14ac:dyDescent="0.2">
      <c r="B106" s="22" t="str">
        <f>'Wzorzec kategorii'!B68</f>
        <v>.</v>
      </c>
      <c r="C106" s="19">
        <v>0</v>
      </c>
      <c r="D106" s="20">
        <f>SUM(Tabela1942208[#This Row])</f>
        <v>0</v>
      </c>
      <c r="E106" s="20">
        <f t="shared" si="7"/>
        <v>0</v>
      </c>
      <c r="F106" s="53" t="str">
        <f t="shared" si="8"/>
        <v/>
      </c>
      <c r="G106" s="54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25"/>
      <c r="AO106" s="25"/>
    </row>
    <row r="107" spans="2:41" x14ac:dyDescent="0.2">
      <c r="B107" s="22" t="str">
        <f>'Wzorzec kategorii'!B69</f>
        <v>.</v>
      </c>
      <c r="C107" s="19">
        <v>0</v>
      </c>
      <c r="D107" s="20">
        <f>SUM(Tabela1942208[#This Row])</f>
        <v>0</v>
      </c>
      <c r="E107" s="20">
        <f t="shared" si="7"/>
        <v>0</v>
      </c>
      <c r="F107" s="53" t="str">
        <f t="shared" si="8"/>
        <v/>
      </c>
      <c r="G107" s="54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25"/>
      <c r="AO107" s="25"/>
    </row>
    <row r="108" spans="2:41" x14ac:dyDescent="0.2">
      <c r="B108" s="5" t="s">
        <v>30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</row>
    <row r="109" spans="2:41" x14ac:dyDescent="0.2">
      <c r="B109" s="2" t="str">
        <f>'Wzorzec kategorii'!B71</f>
        <v>Telekomunikacja</v>
      </c>
      <c r="C109" s="3">
        <f>SUM(Tabela832198[[#All],[Kolumna2]])</f>
        <v>0</v>
      </c>
      <c r="D109" s="16">
        <f>SUM(Tabela832198[[#All],[Kolumna3]])</f>
        <v>0</v>
      </c>
      <c r="E109" s="3">
        <f>C109-D109</f>
        <v>0</v>
      </c>
      <c r="F109" s="17" t="str">
        <f t="shared" ref="F109:F119" si="9">IFERROR(D109/C109,"")</f>
        <v/>
      </c>
      <c r="G109" s="3"/>
      <c r="I109" s="11" t="s">
        <v>44</v>
      </c>
      <c r="J109" s="11" t="s">
        <v>45</v>
      </c>
      <c r="K109" s="11" t="s">
        <v>46</v>
      </c>
      <c r="L109" s="11" t="s">
        <v>47</v>
      </c>
      <c r="M109" s="11" t="s">
        <v>48</v>
      </c>
      <c r="N109" s="11" t="s">
        <v>49</v>
      </c>
      <c r="O109" s="11" t="s">
        <v>50</v>
      </c>
      <c r="P109" s="11" t="s">
        <v>51</v>
      </c>
      <c r="Q109" s="11" t="s">
        <v>52</v>
      </c>
      <c r="R109" s="11" t="s">
        <v>53</v>
      </c>
      <c r="S109" s="11" t="s">
        <v>54</v>
      </c>
      <c r="T109" s="11" t="s">
        <v>55</v>
      </c>
      <c r="U109" s="11" t="s">
        <v>56</v>
      </c>
      <c r="V109" s="11" t="s">
        <v>57</v>
      </c>
      <c r="W109" s="11" t="s">
        <v>58</v>
      </c>
      <c r="X109" s="11" t="s">
        <v>59</v>
      </c>
      <c r="Y109" s="11" t="s">
        <v>60</v>
      </c>
      <c r="Z109" s="11" t="s">
        <v>61</v>
      </c>
      <c r="AA109" s="11" t="s">
        <v>62</v>
      </c>
      <c r="AB109" s="11" t="s">
        <v>63</v>
      </c>
      <c r="AC109" s="11" t="s">
        <v>64</v>
      </c>
      <c r="AD109" s="11" t="s">
        <v>65</v>
      </c>
      <c r="AE109" s="11" t="s">
        <v>66</v>
      </c>
      <c r="AF109" s="11" t="s">
        <v>67</v>
      </c>
      <c r="AG109" s="11" t="s">
        <v>68</v>
      </c>
      <c r="AH109" s="11" t="s">
        <v>69</v>
      </c>
      <c r="AI109" s="11" t="s">
        <v>70</v>
      </c>
      <c r="AJ109" s="11" t="s">
        <v>71</v>
      </c>
      <c r="AK109" s="11" t="s">
        <v>72</v>
      </c>
      <c r="AL109" s="11" t="s">
        <v>73</v>
      </c>
      <c r="AM109" s="11" t="s">
        <v>74</v>
      </c>
      <c r="AN109" s="25"/>
      <c r="AO109" s="25"/>
    </row>
    <row r="110" spans="2:41" x14ac:dyDescent="0.2">
      <c r="B110" s="22" t="str">
        <f>'Wzorzec kategorii'!B72</f>
        <v>Telefon 1</v>
      </c>
      <c r="C110" s="19">
        <v>0</v>
      </c>
      <c r="D110" s="20">
        <f>SUM(Tabela192143209[#This Row])</f>
        <v>0</v>
      </c>
      <c r="E110" s="20">
        <f t="shared" ref="E110:E119" si="10">C110-D110</f>
        <v>0</v>
      </c>
      <c r="F110" s="21" t="str">
        <f t="shared" si="9"/>
        <v/>
      </c>
      <c r="G110" s="24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25"/>
      <c r="AO110" s="25"/>
    </row>
    <row r="111" spans="2:41" x14ac:dyDescent="0.2">
      <c r="B111" s="22" t="str">
        <f>'Wzorzec kategorii'!B73</f>
        <v>Telefon 2</v>
      </c>
      <c r="C111" s="19">
        <v>0</v>
      </c>
      <c r="D111" s="20">
        <f>SUM(Tabela192143209[#This Row])</f>
        <v>0</v>
      </c>
      <c r="E111" s="20">
        <f t="shared" si="10"/>
        <v>0</v>
      </c>
      <c r="F111" s="21" t="str">
        <f t="shared" si="9"/>
        <v/>
      </c>
      <c r="G111" s="24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25"/>
      <c r="AO111" s="25"/>
    </row>
    <row r="112" spans="2:41" x14ac:dyDescent="0.2">
      <c r="B112" s="22" t="str">
        <f>'Wzorzec kategorii'!B74</f>
        <v>TV</v>
      </c>
      <c r="C112" s="19">
        <v>0</v>
      </c>
      <c r="D112" s="20">
        <f>SUM(Tabela192143209[#This Row])</f>
        <v>0</v>
      </c>
      <c r="E112" s="20">
        <f t="shared" si="10"/>
        <v>0</v>
      </c>
      <c r="F112" s="21" t="str">
        <f t="shared" si="9"/>
        <v/>
      </c>
      <c r="G112" s="2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5"/>
      <c r="AO112" s="25"/>
    </row>
    <row r="113" spans="2:41" x14ac:dyDescent="0.2">
      <c r="B113" s="22" t="str">
        <f>'Wzorzec kategorii'!B75</f>
        <v>Internet</v>
      </c>
      <c r="C113" s="19">
        <v>0</v>
      </c>
      <c r="D113" s="20">
        <f>SUM(Tabela192143209[#This Row])</f>
        <v>0</v>
      </c>
      <c r="E113" s="20">
        <f t="shared" si="10"/>
        <v>0</v>
      </c>
      <c r="F113" s="21" t="str">
        <f t="shared" si="9"/>
        <v/>
      </c>
      <c r="G113" s="2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25"/>
      <c r="AO113" s="25"/>
    </row>
    <row r="114" spans="2:41" x14ac:dyDescent="0.2">
      <c r="B114" s="22" t="str">
        <f>'Wzorzec kategorii'!B76</f>
        <v>Inne</v>
      </c>
      <c r="C114" s="19">
        <v>0</v>
      </c>
      <c r="D114" s="20">
        <f>SUM(Tabela192143209[#This Row])</f>
        <v>0</v>
      </c>
      <c r="E114" s="20">
        <f t="shared" si="10"/>
        <v>0</v>
      </c>
      <c r="F114" s="21" t="str">
        <f t="shared" si="9"/>
        <v/>
      </c>
      <c r="G114" s="2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25"/>
      <c r="AO114" s="25"/>
    </row>
    <row r="115" spans="2:41" x14ac:dyDescent="0.2">
      <c r="B115" s="22" t="str">
        <f>'Wzorzec kategorii'!B77</f>
        <v>.</v>
      </c>
      <c r="C115" s="19">
        <v>0</v>
      </c>
      <c r="D115" s="20">
        <f>SUM(Tabela192143209[#This Row])</f>
        <v>0</v>
      </c>
      <c r="E115" s="20">
        <f t="shared" si="10"/>
        <v>0</v>
      </c>
      <c r="F115" s="53" t="str">
        <f t="shared" si="9"/>
        <v/>
      </c>
      <c r="G115" s="54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25"/>
      <c r="AO115" s="25"/>
    </row>
    <row r="116" spans="2:41" x14ac:dyDescent="0.2">
      <c r="B116" s="22" t="str">
        <f>'Wzorzec kategorii'!B78</f>
        <v>.</v>
      </c>
      <c r="C116" s="19">
        <v>0</v>
      </c>
      <c r="D116" s="20">
        <f>SUM(Tabela192143209[#This Row])</f>
        <v>0</v>
      </c>
      <c r="E116" s="20">
        <f t="shared" si="10"/>
        <v>0</v>
      </c>
      <c r="F116" s="53" t="str">
        <f t="shared" si="9"/>
        <v/>
      </c>
      <c r="G116" s="54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25"/>
      <c r="AO116" s="25"/>
    </row>
    <row r="117" spans="2:41" x14ac:dyDescent="0.2">
      <c r="B117" s="22" t="str">
        <f>'Wzorzec kategorii'!B79</f>
        <v>.</v>
      </c>
      <c r="C117" s="19">
        <v>0</v>
      </c>
      <c r="D117" s="20">
        <f>SUM(Tabela192143209[#This Row])</f>
        <v>0</v>
      </c>
      <c r="E117" s="20">
        <f t="shared" si="10"/>
        <v>0</v>
      </c>
      <c r="F117" s="53" t="str">
        <f t="shared" si="9"/>
        <v/>
      </c>
      <c r="G117" s="54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25"/>
      <c r="AO117" s="25"/>
    </row>
    <row r="118" spans="2:41" x14ac:dyDescent="0.2">
      <c r="B118" s="22" t="str">
        <f>'Wzorzec kategorii'!B80</f>
        <v>.</v>
      </c>
      <c r="C118" s="19">
        <v>0</v>
      </c>
      <c r="D118" s="20">
        <f>SUM(Tabela192143209[#This Row])</f>
        <v>0</v>
      </c>
      <c r="E118" s="20">
        <f t="shared" si="10"/>
        <v>0</v>
      </c>
      <c r="F118" s="53" t="str">
        <f t="shared" si="9"/>
        <v/>
      </c>
      <c r="G118" s="54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25"/>
      <c r="AO118" s="25"/>
    </row>
    <row r="119" spans="2:41" x14ac:dyDescent="0.2">
      <c r="B119" s="22" t="str">
        <f>'Wzorzec kategorii'!B81</f>
        <v>.</v>
      </c>
      <c r="C119" s="19">
        <v>0</v>
      </c>
      <c r="D119" s="20">
        <f>SUM(Tabela192143209[#This Row])</f>
        <v>0</v>
      </c>
      <c r="E119" s="20">
        <f t="shared" si="10"/>
        <v>0</v>
      </c>
      <c r="F119" s="53" t="str">
        <f t="shared" si="9"/>
        <v/>
      </c>
      <c r="G119" s="54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25"/>
      <c r="AO119" s="25"/>
    </row>
    <row r="120" spans="2:41" x14ac:dyDescent="0.2"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</row>
    <row r="121" spans="2:41" x14ac:dyDescent="0.2">
      <c r="B121" s="2" t="str">
        <f>'Wzorzec kategorii'!B83</f>
        <v>Opieka zdrowotna</v>
      </c>
      <c r="C121" s="3">
        <f>SUM(Tabela933199[[#All],[Kolumna2]])</f>
        <v>0</v>
      </c>
      <c r="D121" s="16">
        <f>SUM(Tabela933199[[#All],[Kolumna3]])</f>
        <v>0</v>
      </c>
      <c r="E121" s="3">
        <f>C121-D121</f>
        <v>0</v>
      </c>
      <c r="F121" s="17" t="str">
        <f>IFERROR(D121/C121,"")</f>
        <v/>
      </c>
      <c r="G121" s="3"/>
      <c r="I121" s="11" t="s">
        <v>44</v>
      </c>
      <c r="J121" s="11" t="s">
        <v>45</v>
      </c>
      <c r="K121" s="11" t="s">
        <v>46</v>
      </c>
      <c r="L121" s="11" t="s">
        <v>47</v>
      </c>
      <c r="M121" s="11" t="s">
        <v>48</v>
      </c>
      <c r="N121" s="11" t="s">
        <v>49</v>
      </c>
      <c r="O121" s="11" t="s">
        <v>50</v>
      </c>
      <c r="P121" s="11" t="s">
        <v>51</v>
      </c>
      <c r="Q121" s="11" t="s">
        <v>52</v>
      </c>
      <c r="R121" s="11" t="s">
        <v>53</v>
      </c>
      <c r="S121" s="11" t="s">
        <v>54</v>
      </c>
      <c r="T121" s="11" t="s">
        <v>55</v>
      </c>
      <c r="U121" s="11" t="s">
        <v>56</v>
      </c>
      <c r="V121" s="11" t="s">
        <v>57</v>
      </c>
      <c r="W121" s="11" t="s">
        <v>58</v>
      </c>
      <c r="X121" s="11" t="s">
        <v>59</v>
      </c>
      <c r="Y121" s="11" t="s">
        <v>60</v>
      </c>
      <c r="Z121" s="11" t="s">
        <v>61</v>
      </c>
      <c r="AA121" s="11" t="s">
        <v>62</v>
      </c>
      <c r="AB121" s="11" t="s">
        <v>63</v>
      </c>
      <c r="AC121" s="11" t="s">
        <v>64</v>
      </c>
      <c r="AD121" s="11" t="s">
        <v>65</v>
      </c>
      <c r="AE121" s="11" t="s">
        <v>66</v>
      </c>
      <c r="AF121" s="11" t="s">
        <v>67</v>
      </c>
      <c r="AG121" s="11" t="s">
        <v>68</v>
      </c>
      <c r="AH121" s="11" t="s">
        <v>69</v>
      </c>
      <c r="AI121" s="11" t="s">
        <v>70</v>
      </c>
      <c r="AJ121" s="11" t="s">
        <v>71</v>
      </c>
      <c r="AK121" s="11" t="s">
        <v>72</v>
      </c>
      <c r="AL121" s="11" t="s">
        <v>73</v>
      </c>
      <c r="AM121" s="11" t="s">
        <v>74</v>
      </c>
      <c r="AN121" s="25"/>
      <c r="AO121" s="25"/>
    </row>
    <row r="122" spans="2:41" x14ac:dyDescent="0.2">
      <c r="B122" s="22" t="str">
        <f>'Wzorzec kategorii'!B84</f>
        <v>Lekarz</v>
      </c>
      <c r="C122" s="19">
        <v>0</v>
      </c>
      <c r="D122" s="20">
        <f>SUM(Tabela19212547213[#This Row])</f>
        <v>0</v>
      </c>
      <c r="E122" s="20">
        <f t="shared" ref="E122:E131" si="11">C122-D122</f>
        <v>0</v>
      </c>
      <c r="F122" s="21" t="str">
        <f>IFERROR(D122/C122,"")</f>
        <v/>
      </c>
      <c r="G122" s="2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25"/>
      <c r="AO122" s="25"/>
    </row>
    <row r="123" spans="2:41" x14ac:dyDescent="0.2">
      <c r="B123" s="22" t="str">
        <f>'Wzorzec kategorii'!B85</f>
        <v>Badania</v>
      </c>
      <c r="C123" s="19">
        <v>0</v>
      </c>
      <c r="D123" s="20">
        <f>SUM(Tabela19212547213[#This Row])</f>
        <v>0</v>
      </c>
      <c r="E123" s="20">
        <f t="shared" si="11"/>
        <v>0</v>
      </c>
      <c r="F123" s="21" t="str">
        <f>IFERROR(D123/C123,"")</f>
        <v/>
      </c>
      <c r="G123" s="2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25"/>
      <c r="AO123" s="25"/>
    </row>
    <row r="124" spans="2:41" x14ac:dyDescent="0.2">
      <c r="B124" s="22" t="str">
        <f>'Wzorzec kategorii'!B86</f>
        <v>Lekarstwa</v>
      </c>
      <c r="C124" s="19">
        <v>0</v>
      </c>
      <c r="D124" s="20">
        <f>SUM(Tabela19212547213[#This Row])</f>
        <v>0</v>
      </c>
      <c r="E124" s="20">
        <f t="shared" si="11"/>
        <v>0</v>
      </c>
      <c r="F124" s="21" t="str">
        <f>IFERROR(D124/C124,"")</f>
        <v/>
      </c>
      <c r="G124" s="2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25"/>
      <c r="AO124" s="25"/>
    </row>
    <row r="125" spans="2:41" x14ac:dyDescent="0.2">
      <c r="B125" s="22" t="str">
        <f>'Wzorzec kategorii'!B87</f>
        <v>Inne</v>
      </c>
      <c r="C125" s="19">
        <v>0</v>
      </c>
      <c r="D125" s="20">
        <f>SUM(Tabela19212547213[#This Row])</f>
        <v>0</v>
      </c>
      <c r="E125" s="20">
        <f t="shared" si="11"/>
        <v>0</v>
      </c>
      <c r="F125" s="21" t="str">
        <f>IFERROR(D125/C125,"")</f>
        <v/>
      </c>
      <c r="G125" s="24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25"/>
      <c r="AO125" s="25"/>
    </row>
    <row r="126" spans="2:41" x14ac:dyDescent="0.2">
      <c r="B126" s="50" t="str">
        <f>'Wzorzec kategorii'!B88</f>
        <v>.</v>
      </c>
      <c r="C126" s="19">
        <v>0</v>
      </c>
      <c r="D126" s="20">
        <f>SUM(Tabela19212547213[#This Row])</f>
        <v>0</v>
      </c>
      <c r="E126" s="20">
        <f t="shared" si="11"/>
        <v>0</v>
      </c>
      <c r="F126" s="53" t="str">
        <f t="shared" ref="F126:F131" si="12">IFERROR(D126/C126,"")</f>
        <v/>
      </c>
      <c r="G126" s="54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25"/>
      <c r="AO126" s="25"/>
    </row>
    <row r="127" spans="2:41" x14ac:dyDescent="0.2">
      <c r="B127" s="50" t="str">
        <f>'Wzorzec kategorii'!B89</f>
        <v>.</v>
      </c>
      <c r="C127" s="19">
        <v>0</v>
      </c>
      <c r="D127" s="20">
        <f>SUM(Tabela19212547213[#This Row])</f>
        <v>0</v>
      </c>
      <c r="E127" s="20">
        <f t="shared" si="11"/>
        <v>0</v>
      </c>
      <c r="F127" s="53" t="str">
        <f t="shared" si="12"/>
        <v/>
      </c>
      <c r="G127" s="54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25"/>
      <c r="AO127" s="25"/>
    </row>
    <row r="128" spans="2:41" x14ac:dyDescent="0.2">
      <c r="B128" s="50" t="str">
        <f>'Wzorzec kategorii'!B90</f>
        <v>.</v>
      </c>
      <c r="C128" s="19">
        <v>0</v>
      </c>
      <c r="D128" s="20">
        <f>SUM(Tabela19212547213[#This Row])</f>
        <v>0</v>
      </c>
      <c r="E128" s="20">
        <f t="shared" si="11"/>
        <v>0</v>
      </c>
      <c r="F128" s="53" t="str">
        <f t="shared" si="12"/>
        <v/>
      </c>
      <c r="G128" s="54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25"/>
      <c r="AO128" s="25"/>
    </row>
    <row r="129" spans="2:41" x14ac:dyDescent="0.2">
      <c r="B129" s="50" t="str">
        <f>'Wzorzec kategorii'!B91</f>
        <v>.</v>
      </c>
      <c r="C129" s="19">
        <v>0</v>
      </c>
      <c r="D129" s="20">
        <f>SUM(Tabela19212547213[#This Row])</f>
        <v>0</v>
      </c>
      <c r="E129" s="20">
        <f t="shared" si="11"/>
        <v>0</v>
      </c>
      <c r="F129" s="53" t="str">
        <f t="shared" si="12"/>
        <v/>
      </c>
      <c r="G129" s="54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25"/>
      <c r="AO129" s="25"/>
    </row>
    <row r="130" spans="2:41" x14ac:dyDescent="0.2">
      <c r="B130" s="50" t="str">
        <f>'Wzorzec kategorii'!B92</f>
        <v>.</v>
      </c>
      <c r="C130" s="19">
        <v>0</v>
      </c>
      <c r="D130" s="20">
        <f>SUM(Tabela19212547213[#This Row])</f>
        <v>0</v>
      </c>
      <c r="E130" s="20">
        <f t="shared" si="11"/>
        <v>0</v>
      </c>
      <c r="F130" s="53" t="str">
        <f t="shared" si="12"/>
        <v/>
      </c>
      <c r="G130" s="54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25"/>
      <c r="AO130" s="25"/>
    </row>
    <row r="131" spans="2:41" x14ac:dyDescent="0.2">
      <c r="B131" s="50" t="str">
        <f>'Wzorzec kategorii'!B93</f>
        <v>.</v>
      </c>
      <c r="C131" s="19">
        <v>0</v>
      </c>
      <c r="D131" s="20">
        <f>SUM(Tabela19212547213[#This Row])</f>
        <v>0</v>
      </c>
      <c r="E131" s="20">
        <f t="shared" si="11"/>
        <v>0</v>
      </c>
      <c r="F131" s="53" t="str">
        <f t="shared" si="12"/>
        <v/>
      </c>
      <c r="G131" s="54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25"/>
      <c r="AO131" s="25"/>
    </row>
    <row r="132" spans="2:41" x14ac:dyDescent="0.2">
      <c r="B132" s="13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</row>
    <row r="133" spans="2:41" x14ac:dyDescent="0.2">
      <c r="B133" s="2" t="str">
        <f>'Wzorzec kategorii'!B95</f>
        <v>Ubranie</v>
      </c>
      <c r="C133" s="3">
        <f>SUM(Tabela1034200[[#All],[Kolumna2]])</f>
        <v>0</v>
      </c>
      <c r="D133" s="16">
        <f>SUM(Tabela1034200[[#All],[Kolumna3]])</f>
        <v>0</v>
      </c>
      <c r="E133" s="3">
        <f>C133-D133</f>
        <v>0</v>
      </c>
      <c r="F133" s="17" t="str">
        <f t="shared" ref="F133:F143" si="13">IFERROR(D133/C133,"")</f>
        <v/>
      </c>
      <c r="G133" s="3"/>
      <c r="I133" s="11" t="s">
        <v>44</v>
      </c>
      <c r="J133" s="11" t="s">
        <v>45</v>
      </c>
      <c r="K133" s="11" t="s">
        <v>46</v>
      </c>
      <c r="L133" s="11" t="s">
        <v>47</v>
      </c>
      <c r="M133" s="11" t="s">
        <v>48</v>
      </c>
      <c r="N133" s="11" t="s">
        <v>49</v>
      </c>
      <c r="O133" s="11" t="s">
        <v>50</v>
      </c>
      <c r="P133" s="11" t="s">
        <v>51</v>
      </c>
      <c r="Q133" s="11" t="s">
        <v>52</v>
      </c>
      <c r="R133" s="11" t="s">
        <v>53</v>
      </c>
      <c r="S133" s="11" t="s">
        <v>54</v>
      </c>
      <c r="T133" s="11" t="s">
        <v>55</v>
      </c>
      <c r="U133" s="11" t="s">
        <v>56</v>
      </c>
      <c r="V133" s="11" t="s">
        <v>57</v>
      </c>
      <c r="W133" s="11" t="s">
        <v>58</v>
      </c>
      <c r="X133" s="11" t="s">
        <v>59</v>
      </c>
      <c r="Y133" s="11" t="s">
        <v>60</v>
      </c>
      <c r="Z133" s="11" t="s">
        <v>61</v>
      </c>
      <c r="AA133" s="11" t="s">
        <v>62</v>
      </c>
      <c r="AB133" s="11" t="s">
        <v>63</v>
      </c>
      <c r="AC133" s="11" t="s">
        <v>64</v>
      </c>
      <c r="AD133" s="11" t="s">
        <v>65</v>
      </c>
      <c r="AE133" s="11" t="s">
        <v>66</v>
      </c>
      <c r="AF133" s="11" t="s">
        <v>67</v>
      </c>
      <c r="AG133" s="11" t="s">
        <v>68</v>
      </c>
      <c r="AH133" s="11" t="s">
        <v>69</v>
      </c>
      <c r="AI133" s="11" t="s">
        <v>70</v>
      </c>
      <c r="AJ133" s="11" t="s">
        <v>71</v>
      </c>
      <c r="AK133" s="11" t="s">
        <v>72</v>
      </c>
      <c r="AL133" s="11" t="s">
        <v>73</v>
      </c>
      <c r="AM133" s="11" t="s">
        <v>74</v>
      </c>
      <c r="AN133" s="25"/>
      <c r="AO133" s="25"/>
    </row>
    <row r="134" spans="2:41" x14ac:dyDescent="0.2">
      <c r="B134" s="22" t="str">
        <f>'Wzorzec kategorii'!B96</f>
        <v>Ubranie zwykłe</v>
      </c>
      <c r="C134" s="19">
        <v>0</v>
      </c>
      <c r="D134" s="20">
        <f>SUM(Tabela19212446212[#This Row])</f>
        <v>0</v>
      </c>
      <c r="E134" s="20">
        <f t="shared" ref="E134:E143" si="14">C134-D134</f>
        <v>0</v>
      </c>
      <c r="F134" s="21" t="str">
        <f t="shared" si="13"/>
        <v/>
      </c>
      <c r="G134" s="2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25"/>
      <c r="AO134" s="25"/>
    </row>
    <row r="135" spans="2:41" x14ac:dyDescent="0.2">
      <c r="B135" s="22" t="str">
        <f>'Wzorzec kategorii'!B97</f>
        <v>Ubranie sportowe</v>
      </c>
      <c r="C135" s="19">
        <v>0</v>
      </c>
      <c r="D135" s="20">
        <f>SUM(Tabela19212446212[#This Row])</f>
        <v>0</v>
      </c>
      <c r="E135" s="20">
        <f t="shared" si="14"/>
        <v>0</v>
      </c>
      <c r="F135" s="21" t="str">
        <f t="shared" si="13"/>
        <v/>
      </c>
      <c r="G135" s="24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25"/>
      <c r="AO135" s="25"/>
    </row>
    <row r="136" spans="2:41" x14ac:dyDescent="0.2">
      <c r="B136" s="22" t="str">
        <f>'Wzorzec kategorii'!B98</f>
        <v>Buty</v>
      </c>
      <c r="C136" s="19">
        <v>0</v>
      </c>
      <c r="D136" s="20">
        <f>SUM(Tabela19212446212[#This Row])</f>
        <v>0</v>
      </c>
      <c r="E136" s="20">
        <f t="shared" si="14"/>
        <v>0</v>
      </c>
      <c r="F136" s="21" t="str">
        <f t="shared" si="13"/>
        <v/>
      </c>
      <c r="G136" s="24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25"/>
      <c r="AO136" s="25"/>
    </row>
    <row r="137" spans="2:41" x14ac:dyDescent="0.2">
      <c r="B137" s="22" t="str">
        <f>'Wzorzec kategorii'!B99</f>
        <v>Dodatki</v>
      </c>
      <c r="C137" s="19">
        <v>0</v>
      </c>
      <c r="D137" s="20">
        <f>SUM(Tabela19212446212[#This Row])</f>
        <v>0</v>
      </c>
      <c r="E137" s="20">
        <f t="shared" si="14"/>
        <v>0</v>
      </c>
      <c r="F137" s="21" t="str">
        <f t="shared" si="13"/>
        <v/>
      </c>
      <c r="G137" s="2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25"/>
      <c r="AO137" s="25"/>
    </row>
    <row r="138" spans="2:41" x14ac:dyDescent="0.2">
      <c r="B138" s="22" t="str">
        <f>'Wzorzec kategorii'!B100</f>
        <v>Inne</v>
      </c>
      <c r="C138" s="19">
        <v>0</v>
      </c>
      <c r="D138" s="20">
        <f>SUM(Tabela19212446212[#This Row])</f>
        <v>0</v>
      </c>
      <c r="E138" s="20">
        <f t="shared" si="14"/>
        <v>0</v>
      </c>
      <c r="F138" s="21" t="str">
        <f t="shared" si="13"/>
        <v/>
      </c>
      <c r="G138" s="2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25"/>
      <c r="AO138" s="25"/>
    </row>
    <row r="139" spans="2:41" x14ac:dyDescent="0.2">
      <c r="B139" s="50" t="str">
        <f>'Wzorzec kategorii'!B101</f>
        <v>.</v>
      </c>
      <c r="C139" s="19">
        <v>0</v>
      </c>
      <c r="D139" s="20">
        <f>SUM(Tabela19212446212[#This Row])</f>
        <v>0</v>
      </c>
      <c r="E139" s="20">
        <f t="shared" si="14"/>
        <v>0</v>
      </c>
      <c r="F139" s="53" t="str">
        <f t="shared" si="13"/>
        <v/>
      </c>
      <c r="G139" s="54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25"/>
      <c r="AO139" s="25"/>
    </row>
    <row r="140" spans="2:41" x14ac:dyDescent="0.2">
      <c r="B140" s="50" t="str">
        <f>'Wzorzec kategorii'!B102</f>
        <v>.</v>
      </c>
      <c r="C140" s="19">
        <v>0</v>
      </c>
      <c r="D140" s="20">
        <f>SUM(Tabela19212446212[#This Row])</f>
        <v>0</v>
      </c>
      <c r="E140" s="20">
        <f t="shared" si="14"/>
        <v>0</v>
      </c>
      <c r="F140" s="53" t="str">
        <f t="shared" si="13"/>
        <v/>
      </c>
      <c r="G140" s="54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25"/>
      <c r="AO140" s="25"/>
    </row>
    <row r="141" spans="2:41" x14ac:dyDescent="0.2">
      <c r="B141" s="50" t="str">
        <f>'Wzorzec kategorii'!B103</f>
        <v>.</v>
      </c>
      <c r="C141" s="19">
        <v>0</v>
      </c>
      <c r="D141" s="20">
        <f>SUM(Tabela19212446212[#This Row])</f>
        <v>0</v>
      </c>
      <c r="E141" s="20">
        <f t="shared" si="14"/>
        <v>0</v>
      </c>
      <c r="F141" s="53" t="str">
        <f t="shared" si="13"/>
        <v/>
      </c>
      <c r="G141" s="54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25"/>
      <c r="AO141" s="25"/>
    </row>
    <row r="142" spans="2:41" x14ac:dyDescent="0.2">
      <c r="B142" s="50" t="str">
        <f>'Wzorzec kategorii'!B104</f>
        <v>.</v>
      </c>
      <c r="C142" s="19">
        <v>0</v>
      </c>
      <c r="D142" s="20">
        <f>SUM(Tabela19212446212[#This Row])</f>
        <v>0</v>
      </c>
      <c r="E142" s="20">
        <f t="shared" si="14"/>
        <v>0</v>
      </c>
      <c r="F142" s="53" t="str">
        <f t="shared" si="13"/>
        <v/>
      </c>
      <c r="G142" s="54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25"/>
      <c r="AO142" s="25"/>
    </row>
    <row r="143" spans="2:41" x14ac:dyDescent="0.2">
      <c r="B143" s="50" t="str">
        <f>'Wzorzec kategorii'!B105</f>
        <v>.</v>
      </c>
      <c r="C143" s="19">
        <v>0</v>
      </c>
      <c r="D143" s="20">
        <f>SUM(Tabela19212446212[#This Row])</f>
        <v>0</v>
      </c>
      <c r="E143" s="20">
        <f t="shared" si="14"/>
        <v>0</v>
      </c>
      <c r="F143" s="53" t="str">
        <f t="shared" si="13"/>
        <v/>
      </c>
      <c r="G143" s="54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25"/>
      <c r="AO143" s="25"/>
    </row>
    <row r="144" spans="2:41" x14ac:dyDescent="0.2">
      <c r="B144" s="5" t="s">
        <v>30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</row>
    <row r="145" spans="2:41" x14ac:dyDescent="0.2">
      <c r="B145" s="2" t="str">
        <f>'Wzorzec kategorii'!B107</f>
        <v>Higiena</v>
      </c>
      <c r="C145" s="3">
        <f>SUM(Tabela1135201[[#All],[Kolumna2]])</f>
        <v>0</v>
      </c>
      <c r="D145" s="16">
        <f>SUM(Tabela1135201[[#All],[Kolumna3]])</f>
        <v>0</v>
      </c>
      <c r="E145" s="3">
        <f>C145-D145</f>
        <v>0</v>
      </c>
      <c r="F145" s="17" t="str">
        <f t="shared" ref="F145:F155" si="15">IFERROR(D145/C145,"")</f>
        <v/>
      </c>
      <c r="G145" s="3"/>
      <c r="I145" s="11" t="s">
        <v>44</v>
      </c>
      <c r="J145" s="11" t="s">
        <v>45</v>
      </c>
      <c r="K145" s="11" t="s">
        <v>46</v>
      </c>
      <c r="L145" s="11" t="s">
        <v>47</v>
      </c>
      <c r="M145" s="11" t="s">
        <v>48</v>
      </c>
      <c r="N145" s="11" t="s">
        <v>49</v>
      </c>
      <c r="O145" s="11" t="s">
        <v>50</v>
      </c>
      <c r="P145" s="11" t="s">
        <v>51</v>
      </c>
      <c r="Q145" s="11" t="s">
        <v>52</v>
      </c>
      <c r="R145" s="11" t="s">
        <v>53</v>
      </c>
      <c r="S145" s="11" t="s">
        <v>54</v>
      </c>
      <c r="T145" s="11" t="s">
        <v>55</v>
      </c>
      <c r="U145" s="11" t="s">
        <v>56</v>
      </c>
      <c r="V145" s="11" t="s">
        <v>57</v>
      </c>
      <c r="W145" s="11" t="s">
        <v>58</v>
      </c>
      <c r="X145" s="11" t="s">
        <v>59</v>
      </c>
      <c r="Y145" s="11" t="s">
        <v>60</v>
      </c>
      <c r="Z145" s="11" t="s">
        <v>61</v>
      </c>
      <c r="AA145" s="11" t="s">
        <v>62</v>
      </c>
      <c r="AB145" s="11" t="s">
        <v>63</v>
      </c>
      <c r="AC145" s="11" t="s">
        <v>64</v>
      </c>
      <c r="AD145" s="11" t="s">
        <v>65</v>
      </c>
      <c r="AE145" s="11" t="s">
        <v>66</v>
      </c>
      <c r="AF145" s="11" t="s">
        <v>67</v>
      </c>
      <c r="AG145" s="11" t="s">
        <v>68</v>
      </c>
      <c r="AH145" s="11" t="s">
        <v>69</v>
      </c>
      <c r="AI145" s="11" t="s">
        <v>70</v>
      </c>
      <c r="AJ145" s="11" t="s">
        <v>71</v>
      </c>
      <c r="AK145" s="11" t="s">
        <v>72</v>
      </c>
      <c r="AL145" s="11" t="s">
        <v>73</v>
      </c>
      <c r="AM145" s="11" t="s">
        <v>74</v>
      </c>
      <c r="AN145" s="25"/>
      <c r="AO145" s="25"/>
    </row>
    <row r="146" spans="2:41" x14ac:dyDescent="0.2">
      <c r="B146" s="22" t="str">
        <f>'Wzorzec kategorii'!B108</f>
        <v>Kosmetyki</v>
      </c>
      <c r="C146" s="19">
        <v>0</v>
      </c>
      <c r="D146" s="20">
        <f>SUM(Tabela192244210[#This Row])</f>
        <v>0</v>
      </c>
      <c r="E146" s="20">
        <f t="shared" ref="E146:E155" si="16">C146-D146</f>
        <v>0</v>
      </c>
      <c r="F146" s="21" t="str">
        <f t="shared" si="15"/>
        <v/>
      </c>
      <c r="G146" s="24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25"/>
      <c r="AO146" s="25"/>
    </row>
    <row r="147" spans="2:41" x14ac:dyDescent="0.2">
      <c r="B147" s="22" t="str">
        <f>'Wzorzec kategorii'!B109</f>
        <v>Środki czystości (chemia)</v>
      </c>
      <c r="C147" s="19">
        <v>0</v>
      </c>
      <c r="D147" s="20">
        <f>SUM(Tabela192244210[#This Row])</f>
        <v>0</v>
      </c>
      <c r="E147" s="20">
        <f t="shared" si="16"/>
        <v>0</v>
      </c>
      <c r="F147" s="21" t="str">
        <f t="shared" si="15"/>
        <v/>
      </c>
      <c r="G147" s="2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25"/>
      <c r="AO147" s="25"/>
    </row>
    <row r="148" spans="2:41" x14ac:dyDescent="0.2">
      <c r="B148" s="22" t="str">
        <f>'Wzorzec kategorii'!B110</f>
        <v>Fryzjer</v>
      </c>
      <c r="C148" s="19">
        <v>0</v>
      </c>
      <c r="D148" s="20">
        <f>SUM(Tabela192244210[#This Row])</f>
        <v>0</v>
      </c>
      <c r="E148" s="20">
        <f t="shared" si="16"/>
        <v>0</v>
      </c>
      <c r="F148" s="21" t="str">
        <f t="shared" si="15"/>
        <v/>
      </c>
      <c r="G148" s="2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25"/>
      <c r="AO148" s="25"/>
    </row>
    <row r="149" spans="2:41" x14ac:dyDescent="0.2">
      <c r="B149" s="22" t="str">
        <f>'Wzorzec kategorii'!B111</f>
        <v>Kosmetyczka</v>
      </c>
      <c r="C149" s="19">
        <v>0</v>
      </c>
      <c r="D149" s="20">
        <f>SUM(Tabela192244210[#This Row])</f>
        <v>0</v>
      </c>
      <c r="E149" s="20">
        <f t="shared" si="16"/>
        <v>0</v>
      </c>
      <c r="F149" s="21" t="str">
        <f t="shared" si="15"/>
        <v/>
      </c>
      <c r="G149" s="2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25"/>
      <c r="AO149" s="25"/>
    </row>
    <row r="150" spans="2:41" x14ac:dyDescent="0.2">
      <c r="B150" s="22" t="str">
        <f>'Wzorzec kategorii'!B112</f>
        <v>Inne</v>
      </c>
      <c r="C150" s="19">
        <v>0</v>
      </c>
      <c r="D150" s="20">
        <f>SUM(Tabela192244210[#This Row])</f>
        <v>0</v>
      </c>
      <c r="E150" s="20">
        <f t="shared" si="16"/>
        <v>0</v>
      </c>
      <c r="F150" s="21" t="str">
        <f t="shared" si="15"/>
        <v/>
      </c>
      <c r="G150" s="2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25"/>
      <c r="AO150" s="25"/>
    </row>
    <row r="151" spans="2:41" x14ac:dyDescent="0.2">
      <c r="B151" s="22" t="str">
        <f>'Wzorzec kategorii'!B113</f>
        <v>.</v>
      </c>
      <c r="C151" s="19">
        <v>0</v>
      </c>
      <c r="D151" s="20">
        <f>SUM(Tabela192244210[#This Row])</f>
        <v>0</v>
      </c>
      <c r="E151" s="20">
        <f t="shared" si="16"/>
        <v>0</v>
      </c>
      <c r="F151" s="53" t="str">
        <f t="shared" si="15"/>
        <v/>
      </c>
      <c r="G151" s="54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25"/>
      <c r="AO151" s="25"/>
    </row>
    <row r="152" spans="2:41" x14ac:dyDescent="0.2">
      <c r="B152" s="22" t="str">
        <f>'Wzorzec kategorii'!B114</f>
        <v>.</v>
      </c>
      <c r="C152" s="19">
        <v>0</v>
      </c>
      <c r="D152" s="20">
        <f>SUM(Tabela192244210[#This Row])</f>
        <v>0</v>
      </c>
      <c r="E152" s="20">
        <f t="shared" si="16"/>
        <v>0</v>
      </c>
      <c r="F152" s="53" t="str">
        <f t="shared" si="15"/>
        <v/>
      </c>
      <c r="G152" s="54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25"/>
      <c r="AO152" s="25"/>
    </row>
    <row r="153" spans="2:41" x14ac:dyDescent="0.2">
      <c r="B153" s="22" t="str">
        <f>'Wzorzec kategorii'!B115</f>
        <v>.</v>
      </c>
      <c r="C153" s="19">
        <v>0</v>
      </c>
      <c r="D153" s="20">
        <f>SUM(Tabela192244210[#This Row])</f>
        <v>0</v>
      </c>
      <c r="E153" s="20">
        <f t="shared" si="16"/>
        <v>0</v>
      </c>
      <c r="F153" s="53" t="str">
        <f t="shared" si="15"/>
        <v/>
      </c>
      <c r="G153" s="54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25"/>
      <c r="AO153" s="25"/>
    </row>
    <row r="154" spans="2:41" x14ac:dyDescent="0.2">
      <c r="B154" s="22" t="str">
        <f>'Wzorzec kategorii'!B116</f>
        <v>.</v>
      </c>
      <c r="C154" s="19">
        <v>0</v>
      </c>
      <c r="D154" s="20">
        <f>SUM(Tabela192244210[#This Row])</f>
        <v>0</v>
      </c>
      <c r="E154" s="20">
        <f t="shared" si="16"/>
        <v>0</v>
      </c>
      <c r="F154" s="53" t="str">
        <f t="shared" si="15"/>
        <v/>
      </c>
      <c r="G154" s="54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25"/>
      <c r="AO154" s="25"/>
    </row>
    <row r="155" spans="2:41" x14ac:dyDescent="0.2">
      <c r="B155" s="22" t="str">
        <f>'Wzorzec kategorii'!B117</f>
        <v>.</v>
      </c>
      <c r="C155" s="19">
        <v>0</v>
      </c>
      <c r="D155" s="20">
        <f>SUM(Tabela192244210[#This Row])</f>
        <v>0</v>
      </c>
      <c r="E155" s="20">
        <f t="shared" si="16"/>
        <v>0</v>
      </c>
      <c r="F155" s="53" t="str">
        <f t="shared" si="15"/>
        <v/>
      </c>
      <c r="G155" s="54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25"/>
      <c r="AO155" s="25"/>
    </row>
    <row r="156" spans="2:41" x14ac:dyDescent="0.2">
      <c r="B156" s="5" t="s">
        <v>30</v>
      </c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</row>
    <row r="157" spans="2:41" x14ac:dyDescent="0.2">
      <c r="B157" s="2" t="str">
        <f>'Wzorzec kategorii'!B119</f>
        <v>Dzieci</v>
      </c>
      <c r="C157" s="3">
        <f>SUM(Tabela1236202[[#All],[Kolumna2]])</f>
        <v>0</v>
      </c>
      <c r="D157" s="16">
        <f>SUM(Tabela1236202[[#All],[Kolumna3]])</f>
        <v>0</v>
      </c>
      <c r="E157" s="3">
        <f>C157-D157</f>
        <v>0</v>
      </c>
      <c r="F157" s="17" t="str">
        <f>IFERROR(D157/C157,"")</f>
        <v/>
      </c>
      <c r="G157" s="3"/>
      <c r="I157" s="11" t="s">
        <v>44</v>
      </c>
      <c r="J157" s="11" t="s">
        <v>45</v>
      </c>
      <c r="K157" s="11" t="s">
        <v>46</v>
      </c>
      <c r="L157" s="11" t="s">
        <v>47</v>
      </c>
      <c r="M157" s="11" t="s">
        <v>48</v>
      </c>
      <c r="N157" s="11" t="s">
        <v>49</v>
      </c>
      <c r="O157" s="11" t="s">
        <v>50</v>
      </c>
      <c r="P157" s="11" t="s">
        <v>51</v>
      </c>
      <c r="Q157" s="11" t="s">
        <v>52</v>
      </c>
      <c r="R157" s="11" t="s">
        <v>53</v>
      </c>
      <c r="S157" s="11" t="s">
        <v>54</v>
      </c>
      <c r="T157" s="11" t="s">
        <v>55</v>
      </c>
      <c r="U157" s="11" t="s">
        <v>56</v>
      </c>
      <c r="V157" s="11" t="s">
        <v>57</v>
      </c>
      <c r="W157" s="11" t="s">
        <v>58</v>
      </c>
      <c r="X157" s="11" t="s">
        <v>59</v>
      </c>
      <c r="Y157" s="11" t="s">
        <v>60</v>
      </c>
      <c r="Z157" s="11" t="s">
        <v>61</v>
      </c>
      <c r="AA157" s="11" t="s">
        <v>62</v>
      </c>
      <c r="AB157" s="11" t="s">
        <v>63</v>
      </c>
      <c r="AC157" s="11" t="s">
        <v>64</v>
      </c>
      <c r="AD157" s="11" t="s">
        <v>65</v>
      </c>
      <c r="AE157" s="11" t="s">
        <v>66</v>
      </c>
      <c r="AF157" s="11" t="s">
        <v>67</v>
      </c>
      <c r="AG157" s="11" t="s">
        <v>68</v>
      </c>
      <c r="AH157" s="11" t="s">
        <v>69</v>
      </c>
      <c r="AI157" s="11" t="s">
        <v>70</v>
      </c>
      <c r="AJ157" s="11" t="s">
        <v>71</v>
      </c>
      <c r="AK157" s="11" t="s">
        <v>72</v>
      </c>
      <c r="AL157" s="11" t="s">
        <v>73</v>
      </c>
      <c r="AM157" s="11" t="s">
        <v>74</v>
      </c>
      <c r="AN157" s="25"/>
      <c r="AO157" s="25"/>
    </row>
    <row r="158" spans="2:41" x14ac:dyDescent="0.2">
      <c r="B158" s="22" t="str">
        <f>'Wzorzec kategorii'!B120</f>
        <v>Artykuły szkolne</v>
      </c>
      <c r="C158" s="19">
        <v>0</v>
      </c>
      <c r="D158" s="20">
        <f>SUM(Tabela2548214[#This Row])</f>
        <v>0</v>
      </c>
      <c r="E158" s="20">
        <f t="shared" ref="E158:E167" si="17">C158-D158</f>
        <v>0</v>
      </c>
      <c r="F158" s="21" t="str">
        <f t="shared" ref="F158:F167" si="18">IFERROR(D158/C158,"")</f>
        <v/>
      </c>
      <c r="G158" s="2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25"/>
      <c r="AO158" s="25"/>
    </row>
    <row r="159" spans="2:41" x14ac:dyDescent="0.2">
      <c r="B159" s="22" t="str">
        <f>'Wzorzec kategorii'!B121</f>
        <v>Dodatkowe zajęcia</v>
      </c>
      <c r="C159" s="19">
        <v>0</v>
      </c>
      <c r="D159" s="20">
        <f>SUM(Tabela2548214[#This Row])</f>
        <v>0</v>
      </c>
      <c r="E159" s="20">
        <f t="shared" si="17"/>
        <v>0</v>
      </c>
      <c r="F159" s="21" t="str">
        <f t="shared" si="18"/>
        <v/>
      </c>
      <c r="G159" s="2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25"/>
      <c r="AO159" s="25"/>
    </row>
    <row r="160" spans="2:41" x14ac:dyDescent="0.2">
      <c r="B160" s="22" t="str">
        <f>'Wzorzec kategorii'!B122</f>
        <v>Wpłaty na szkołę itp.</v>
      </c>
      <c r="C160" s="19">
        <v>0</v>
      </c>
      <c r="D160" s="20">
        <f>SUM(Tabela2548214[#This Row])</f>
        <v>0</v>
      </c>
      <c r="E160" s="20">
        <f t="shared" si="17"/>
        <v>0</v>
      </c>
      <c r="F160" s="21" t="str">
        <f t="shared" si="18"/>
        <v/>
      </c>
      <c r="G160" s="2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25"/>
      <c r="AO160" s="25"/>
    </row>
    <row r="161" spans="2:41" x14ac:dyDescent="0.2">
      <c r="B161" s="22" t="str">
        <f>'Wzorzec kategorii'!B123</f>
        <v>Zabawki / gry</v>
      </c>
      <c r="C161" s="19">
        <v>0</v>
      </c>
      <c r="D161" s="20">
        <f>SUM(Tabela2548214[#This Row])</f>
        <v>0</v>
      </c>
      <c r="E161" s="20">
        <f t="shared" si="17"/>
        <v>0</v>
      </c>
      <c r="F161" s="21" t="str">
        <f t="shared" si="18"/>
        <v/>
      </c>
      <c r="G161" s="2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25"/>
      <c r="AO161" s="25"/>
    </row>
    <row r="162" spans="2:41" x14ac:dyDescent="0.2">
      <c r="B162" s="22" t="str">
        <f>'Wzorzec kategorii'!B124</f>
        <v>Opieka nad dziećmi</v>
      </c>
      <c r="C162" s="19">
        <v>0</v>
      </c>
      <c r="D162" s="20">
        <f>SUM(Tabela2548214[#This Row])</f>
        <v>0</v>
      </c>
      <c r="E162" s="20">
        <f t="shared" si="17"/>
        <v>0</v>
      </c>
      <c r="F162" s="21" t="str">
        <f t="shared" si="18"/>
        <v/>
      </c>
      <c r="G162" s="2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25"/>
      <c r="AO162" s="25"/>
    </row>
    <row r="163" spans="2:41" x14ac:dyDescent="0.2">
      <c r="B163" s="22" t="str">
        <f>'Wzorzec kategorii'!B125</f>
        <v>Inne</v>
      </c>
      <c r="C163" s="19">
        <v>0</v>
      </c>
      <c r="D163" s="20">
        <f>SUM(Tabela2548214[#This Row])</f>
        <v>0</v>
      </c>
      <c r="E163" s="20">
        <f t="shared" si="17"/>
        <v>0</v>
      </c>
      <c r="F163" s="21" t="str">
        <f t="shared" si="18"/>
        <v/>
      </c>
      <c r="G163" s="24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25"/>
      <c r="AO163" s="25"/>
    </row>
    <row r="164" spans="2:41" x14ac:dyDescent="0.2">
      <c r="B164" s="51" t="str">
        <f>'Wzorzec kategorii'!B126</f>
        <v>.</v>
      </c>
      <c r="C164" s="19">
        <v>0</v>
      </c>
      <c r="D164" s="20">
        <f>SUM(Tabela2548214[#This Row])</f>
        <v>0</v>
      </c>
      <c r="E164" s="20">
        <f t="shared" si="17"/>
        <v>0</v>
      </c>
      <c r="F164" s="53" t="str">
        <f t="shared" si="18"/>
        <v/>
      </c>
      <c r="G164" s="24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25"/>
      <c r="AO164" s="25"/>
    </row>
    <row r="165" spans="2:41" x14ac:dyDescent="0.2">
      <c r="B165" s="51" t="str">
        <f>'Wzorzec kategorii'!B127</f>
        <v>.</v>
      </c>
      <c r="C165" s="19">
        <v>0</v>
      </c>
      <c r="D165" s="20">
        <f>SUM(Tabela2548214[#This Row])</f>
        <v>0</v>
      </c>
      <c r="E165" s="20">
        <f t="shared" si="17"/>
        <v>0</v>
      </c>
      <c r="F165" s="53" t="str">
        <f t="shared" si="18"/>
        <v/>
      </c>
      <c r="G165" s="24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25"/>
      <c r="AO165" s="25"/>
    </row>
    <row r="166" spans="2:41" x14ac:dyDescent="0.2">
      <c r="B166" s="51" t="str">
        <f>'Wzorzec kategorii'!B128</f>
        <v>.</v>
      </c>
      <c r="C166" s="19">
        <v>0</v>
      </c>
      <c r="D166" s="20">
        <f>SUM(Tabela2548214[#This Row])</f>
        <v>0</v>
      </c>
      <c r="E166" s="20">
        <f t="shared" si="17"/>
        <v>0</v>
      </c>
      <c r="F166" s="53" t="str">
        <f t="shared" si="18"/>
        <v/>
      </c>
      <c r="G166" s="24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25"/>
      <c r="AO166" s="25"/>
    </row>
    <row r="167" spans="2:41" x14ac:dyDescent="0.2">
      <c r="B167" s="51" t="str">
        <f>'Wzorzec kategorii'!B129</f>
        <v>.</v>
      </c>
      <c r="C167" s="19">
        <v>0</v>
      </c>
      <c r="D167" s="20">
        <f>SUM(Tabela2548214[#This Row])</f>
        <v>0</v>
      </c>
      <c r="E167" s="20">
        <f t="shared" si="17"/>
        <v>0</v>
      </c>
      <c r="F167" s="53" t="str">
        <f t="shared" si="18"/>
        <v/>
      </c>
      <c r="G167" s="24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25"/>
      <c r="AO167" s="25"/>
    </row>
    <row r="168" spans="2:41" x14ac:dyDescent="0.2">
      <c r="B168" s="5" t="s">
        <v>30</v>
      </c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</row>
    <row r="169" spans="2:41" x14ac:dyDescent="0.2">
      <c r="B169" s="2" t="str">
        <f>'Wzorzec kategorii'!B131</f>
        <v>Rozrywka</v>
      </c>
      <c r="C169" s="3">
        <f>SUM(Tabela1337203[[#All],[Kolumna2]])</f>
        <v>0</v>
      </c>
      <c r="D169" s="16">
        <f>SUM(Tabela1337203[[#All],[Kolumna3]])</f>
        <v>0</v>
      </c>
      <c r="E169" s="3">
        <f>C169-D169</f>
        <v>0</v>
      </c>
      <c r="F169" s="17" t="str">
        <f>IFERROR(D169/C169,"")</f>
        <v/>
      </c>
      <c r="G169" s="3"/>
      <c r="I169" s="11" t="s">
        <v>44</v>
      </c>
      <c r="J169" s="11" t="s">
        <v>45</v>
      </c>
      <c r="K169" s="11" t="s">
        <v>46</v>
      </c>
      <c r="L169" s="11" t="s">
        <v>47</v>
      </c>
      <c r="M169" s="11" t="s">
        <v>48</v>
      </c>
      <c r="N169" s="11" t="s">
        <v>49</v>
      </c>
      <c r="O169" s="11" t="s">
        <v>50</v>
      </c>
      <c r="P169" s="11" t="s">
        <v>51</v>
      </c>
      <c r="Q169" s="11" t="s">
        <v>52</v>
      </c>
      <c r="R169" s="11" t="s">
        <v>53</v>
      </c>
      <c r="S169" s="11" t="s">
        <v>54</v>
      </c>
      <c r="T169" s="11" t="s">
        <v>55</v>
      </c>
      <c r="U169" s="11" t="s">
        <v>56</v>
      </c>
      <c r="V169" s="11" t="s">
        <v>57</v>
      </c>
      <c r="W169" s="11" t="s">
        <v>58</v>
      </c>
      <c r="X169" s="11" t="s">
        <v>59</v>
      </c>
      <c r="Y169" s="11" t="s">
        <v>60</v>
      </c>
      <c r="Z169" s="11" t="s">
        <v>61</v>
      </c>
      <c r="AA169" s="11" t="s">
        <v>62</v>
      </c>
      <c r="AB169" s="11" t="s">
        <v>63</v>
      </c>
      <c r="AC169" s="11" t="s">
        <v>64</v>
      </c>
      <c r="AD169" s="11" t="s">
        <v>65</v>
      </c>
      <c r="AE169" s="11" t="s">
        <v>66</v>
      </c>
      <c r="AF169" s="11" t="s">
        <v>67</v>
      </c>
      <c r="AG169" s="11" t="s">
        <v>68</v>
      </c>
      <c r="AH169" s="11" t="s">
        <v>69</v>
      </c>
      <c r="AI169" s="11" t="s">
        <v>70</v>
      </c>
      <c r="AJ169" s="11" t="s">
        <v>71</v>
      </c>
      <c r="AK169" s="11" t="s">
        <v>72</v>
      </c>
      <c r="AL169" s="11" t="s">
        <v>73</v>
      </c>
      <c r="AM169" s="11" t="s">
        <v>74</v>
      </c>
      <c r="AN169" s="25"/>
      <c r="AO169" s="25"/>
    </row>
    <row r="170" spans="2:41" x14ac:dyDescent="0.2">
      <c r="B170" s="22" t="str">
        <f>'Wzorzec kategorii'!B132</f>
        <v>Siłownia / Basen</v>
      </c>
      <c r="C170" s="19">
        <v>0</v>
      </c>
      <c r="D170" s="20">
        <f>SUM(Tabela2649215[#This Row])</f>
        <v>0</v>
      </c>
      <c r="E170" s="20">
        <f t="shared" ref="E170:E179" si="19">C170-D170</f>
        <v>0</v>
      </c>
      <c r="F170" s="21" t="str">
        <f t="shared" ref="F170:F179" si="20">IFERROR(D170/C170,"")</f>
        <v/>
      </c>
      <c r="G170" s="24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25"/>
      <c r="AO170" s="25"/>
    </row>
    <row r="171" spans="2:41" x14ac:dyDescent="0.2">
      <c r="B171" s="22" t="str">
        <f>'Wzorzec kategorii'!B133</f>
        <v>Kino / Teatr</v>
      </c>
      <c r="C171" s="19">
        <v>0</v>
      </c>
      <c r="D171" s="20">
        <f>SUM(Tabela2649215[#This Row])</f>
        <v>0</v>
      </c>
      <c r="E171" s="20">
        <f t="shared" si="19"/>
        <v>0</v>
      </c>
      <c r="F171" s="21" t="str">
        <f t="shared" si="20"/>
        <v/>
      </c>
      <c r="G171" s="24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25"/>
      <c r="AO171" s="25"/>
    </row>
    <row r="172" spans="2:41" x14ac:dyDescent="0.2">
      <c r="B172" s="22" t="str">
        <f>'Wzorzec kategorii'!B134</f>
        <v>Koncerty</v>
      </c>
      <c r="C172" s="19">
        <v>0</v>
      </c>
      <c r="D172" s="20">
        <f>SUM(Tabela2649215[#This Row])</f>
        <v>0</v>
      </c>
      <c r="E172" s="20">
        <f t="shared" si="19"/>
        <v>0</v>
      </c>
      <c r="F172" s="21" t="str">
        <f t="shared" si="20"/>
        <v/>
      </c>
      <c r="G172" s="24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25"/>
      <c r="AO172" s="25"/>
    </row>
    <row r="173" spans="2:41" x14ac:dyDescent="0.2">
      <c r="B173" s="22" t="str">
        <f>'Wzorzec kategorii'!B135</f>
        <v>Czasopisma</v>
      </c>
      <c r="C173" s="19">
        <v>0</v>
      </c>
      <c r="D173" s="20">
        <f>SUM(Tabela2649215[#This Row])</f>
        <v>0</v>
      </c>
      <c r="E173" s="20">
        <f t="shared" si="19"/>
        <v>0</v>
      </c>
      <c r="F173" s="21" t="str">
        <f t="shared" si="20"/>
        <v/>
      </c>
      <c r="G173" s="24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25"/>
      <c r="AO173" s="25"/>
    </row>
    <row r="174" spans="2:41" x14ac:dyDescent="0.2">
      <c r="B174" s="22" t="str">
        <f>'Wzorzec kategorii'!B136</f>
        <v>Książki</v>
      </c>
      <c r="C174" s="19">
        <v>0</v>
      </c>
      <c r="D174" s="20">
        <f>SUM(Tabela2649215[#This Row])</f>
        <v>0</v>
      </c>
      <c r="E174" s="20">
        <f t="shared" si="19"/>
        <v>0</v>
      </c>
      <c r="F174" s="21" t="str">
        <f t="shared" si="20"/>
        <v/>
      </c>
      <c r="G174" s="24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25"/>
      <c r="AO174" s="25"/>
    </row>
    <row r="175" spans="2:41" x14ac:dyDescent="0.2">
      <c r="B175" s="22" t="str">
        <f>'Wzorzec kategorii'!B137</f>
        <v>Hobby</v>
      </c>
      <c r="C175" s="19">
        <v>0</v>
      </c>
      <c r="D175" s="20">
        <f>SUM(Tabela2649215[#This Row])</f>
        <v>0</v>
      </c>
      <c r="E175" s="20">
        <f t="shared" si="19"/>
        <v>0</v>
      </c>
      <c r="F175" s="21" t="str">
        <f t="shared" si="20"/>
        <v/>
      </c>
      <c r="G175" s="24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25"/>
      <c r="AO175" s="25"/>
    </row>
    <row r="176" spans="2:41" x14ac:dyDescent="0.2">
      <c r="B176" s="22" t="str">
        <f>'Wzorzec kategorii'!B138</f>
        <v>Hotel / Turystyka</v>
      </c>
      <c r="C176" s="19">
        <v>0</v>
      </c>
      <c r="D176" s="20">
        <f>SUM(Tabela2649215[#This Row])</f>
        <v>0</v>
      </c>
      <c r="E176" s="20">
        <f t="shared" si="19"/>
        <v>0</v>
      </c>
      <c r="F176" s="21" t="str">
        <f t="shared" si="20"/>
        <v/>
      </c>
      <c r="G176" s="24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25"/>
      <c r="AO176" s="25"/>
    </row>
    <row r="177" spans="2:41" x14ac:dyDescent="0.2">
      <c r="B177" s="22" t="str">
        <f>'Wzorzec kategorii'!B139</f>
        <v>Inne</v>
      </c>
      <c r="C177" s="19">
        <v>0</v>
      </c>
      <c r="D177" s="20">
        <f>SUM(Tabela2649215[#This Row])</f>
        <v>0</v>
      </c>
      <c r="E177" s="20">
        <f t="shared" si="19"/>
        <v>0</v>
      </c>
      <c r="F177" s="21" t="str">
        <f t="shared" si="20"/>
        <v/>
      </c>
      <c r="G177" s="24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25"/>
      <c r="AO177" s="25"/>
    </row>
    <row r="178" spans="2:41" x14ac:dyDescent="0.2">
      <c r="B178" s="22" t="str">
        <f>'Wzorzec kategorii'!B140</f>
        <v>.</v>
      </c>
      <c r="C178" s="19">
        <v>0</v>
      </c>
      <c r="D178" s="20">
        <f>SUM(Tabela2649215[#This Row])</f>
        <v>0</v>
      </c>
      <c r="E178" s="20">
        <f t="shared" si="19"/>
        <v>0</v>
      </c>
      <c r="F178" s="53" t="str">
        <f t="shared" si="20"/>
        <v/>
      </c>
      <c r="G178" s="54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25"/>
      <c r="AO178" s="25"/>
    </row>
    <row r="179" spans="2:41" x14ac:dyDescent="0.2">
      <c r="B179" s="22" t="str">
        <f>'Wzorzec kategorii'!B141</f>
        <v>.</v>
      </c>
      <c r="C179" s="19">
        <v>0</v>
      </c>
      <c r="D179" s="20">
        <f>SUM(Tabela2649215[#This Row])</f>
        <v>0</v>
      </c>
      <c r="E179" s="20">
        <f t="shared" si="19"/>
        <v>0</v>
      </c>
      <c r="F179" s="53" t="str">
        <f t="shared" si="20"/>
        <v/>
      </c>
      <c r="G179" s="54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25"/>
      <c r="AO179" s="25"/>
    </row>
    <row r="180" spans="2:41" x14ac:dyDescent="0.2">
      <c r="B180" s="5" t="s">
        <v>30</v>
      </c>
      <c r="AN180" s="25"/>
      <c r="AO180" s="25"/>
    </row>
    <row r="181" spans="2:41" x14ac:dyDescent="0.2">
      <c r="B181" s="2" t="str">
        <f>'Wzorzec kategorii'!B143</f>
        <v>Inne wydatki</v>
      </c>
      <c r="C181" s="3">
        <f>SUM(Tabela1438204[[#All],[Kolumna2]])</f>
        <v>0</v>
      </c>
      <c r="D181" s="16">
        <f>SUM(Tabela1438204[[#All],[Kolumna3]])</f>
        <v>0</v>
      </c>
      <c r="E181" s="3">
        <f>C181-D181</f>
        <v>0</v>
      </c>
      <c r="F181" s="17" t="str">
        <f>IFERROR(D181/C181,"")</f>
        <v/>
      </c>
      <c r="G181" s="3"/>
      <c r="I181" s="11" t="s">
        <v>44</v>
      </c>
      <c r="J181" s="11" t="s">
        <v>45</v>
      </c>
      <c r="K181" s="11" t="s">
        <v>46</v>
      </c>
      <c r="L181" s="11" t="s">
        <v>47</v>
      </c>
      <c r="M181" s="11" t="s">
        <v>48</v>
      </c>
      <c r="N181" s="11" t="s">
        <v>49</v>
      </c>
      <c r="O181" s="11" t="s">
        <v>50</v>
      </c>
      <c r="P181" s="11" t="s">
        <v>51</v>
      </c>
      <c r="Q181" s="11" t="s">
        <v>52</v>
      </c>
      <c r="R181" s="11" t="s">
        <v>53</v>
      </c>
      <c r="S181" s="11" t="s">
        <v>54</v>
      </c>
      <c r="T181" s="11" t="s">
        <v>55</v>
      </c>
      <c r="U181" s="11" t="s">
        <v>56</v>
      </c>
      <c r="V181" s="11" t="s">
        <v>57</v>
      </c>
      <c r="W181" s="11" t="s">
        <v>58</v>
      </c>
      <c r="X181" s="11" t="s">
        <v>59</v>
      </c>
      <c r="Y181" s="11" t="s">
        <v>60</v>
      </c>
      <c r="Z181" s="11" t="s">
        <v>61</v>
      </c>
      <c r="AA181" s="11" t="s">
        <v>62</v>
      </c>
      <c r="AB181" s="11" t="s">
        <v>63</v>
      </c>
      <c r="AC181" s="11" t="s">
        <v>64</v>
      </c>
      <c r="AD181" s="11" t="s">
        <v>65</v>
      </c>
      <c r="AE181" s="11" t="s">
        <v>66</v>
      </c>
      <c r="AF181" s="11" t="s">
        <v>67</v>
      </c>
      <c r="AG181" s="11" t="s">
        <v>68</v>
      </c>
      <c r="AH181" s="11" t="s">
        <v>69</v>
      </c>
      <c r="AI181" s="11" t="s">
        <v>70</v>
      </c>
      <c r="AJ181" s="11" t="s">
        <v>71</v>
      </c>
      <c r="AK181" s="11" t="s">
        <v>72</v>
      </c>
      <c r="AL181" s="11" t="s">
        <v>73</v>
      </c>
      <c r="AM181" s="11" t="s">
        <v>74</v>
      </c>
      <c r="AN181" s="25"/>
      <c r="AO181" s="25"/>
    </row>
    <row r="182" spans="2:41" x14ac:dyDescent="0.2">
      <c r="B182" s="22" t="str">
        <f>'Wzorzec kategorii'!B144</f>
        <v>Dobroczynność</v>
      </c>
      <c r="C182" s="19">
        <v>0</v>
      </c>
      <c r="D182" s="20">
        <f>SUM(Tabela2750216[#This Row])</f>
        <v>0</v>
      </c>
      <c r="E182" s="20">
        <f t="shared" ref="E182:E191" si="21">C182-D182</f>
        <v>0</v>
      </c>
      <c r="F182" s="21" t="str">
        <f t="shared" ref="F182:F191" si="22">IFERROR(D182/C182,"")</f>
        <v/>
      </c>
      <c r="G182" s="24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25"/>
      <c r="AO182" s="25"/>
    </row>
    <row r="183" spans="2:41" x14ac:dyDescent="0.2">
      <c r="B183" s="22" t="str">
        <f>'Wzorzec kategorii'!B145</f>
        <v>Prezenty</v>
      </c>
      <c r="C183" s="19">
        <v>0</v>
      </c>
      <c r="D183" s="20">
        <f>SUM(Tabela2750216[#This Row])</f>
        <v>0</v>
      </c>
      <c r="E183" s="20">
        <f t="shared" si="21"/>
        <v>0</v>
      </c>
      <c r="F183" s="21" t="str">
        <f t="shared" si="22"/>
        <v/>
      </c>
      <c r="G183" s="24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25"/>
      <c r="AO183" s="25"/>
    </row>
    <row r="184" spans="2:41" x14ac:dyDescent="0.2">
      <c r="B184" s="22" t="str">
        <f>'Wzorzec kategorii'!B146</f>
        <v>Sprzęt RTV</v>
      </c>
      <c r="C184" s="19">
        <v>0</v>
      </c>
      <c r="D184" s="20">
        <f>SUM(Tabela2750216[#This Row])</f>
        <v>0</v>
      </c>
      <c r="E184" s="20">
        <f t="shared" si="21"/>
        <v>0</v>
      </c>
      <c r="F184" s="21" t="str">
        <f t="shared" si="22"/>
        <v/>
      </c>
      <c r="G184" s="24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25"/>
      <c r="AO184" s="25"/>
    </row>
    <row r="185" spans="2:41" x14ac:dyDescent="0.2">
      <c r="B185" s="22" t="str">
        <f>'Wzorzec kategorii'!B147</f>
        <v>Oprogramowanie</v>
      </c>
      <c r="C185" s="19">
        <v>0</v>
      </c>
      <c r="D185" s="20">
        <f>SUM(Tabela2750216[#This Row])</f>
        <v>0</v>
      </c>
      <c r="E185" s="20">
        <f t="shared" si="21"/>
        <v>0</v>
      </c>
      <c r="F185" s="21" t="str">
        <f t="shared" si="22"/>
        <v/>
      </c>
      <c r="G185" s="24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25"/>
      <c r="AO185" s="25"/>
    </row>
    <row r="186" spans="2:41" x14ac:dyDescent="0.2">
      <c r="B186" s="22" t="str">
        <f>'Wzorzec kategorii'!B148</f>
        <v>Edukacja / Szkolenia</v>
      </c>
      <c r="C186" s="19">
        <v>0</v>
      </c>
      <c r="D186" s="20">
        <f>SUM(Tabela2750216[#This Row])</f>
        <v>0</v>
      </c>
      <c r="E186" s="20">
        <f t="shared" si="21"/>
        <v>0</v>
      </c>
      <c r="F186" s="21" t="str">
        <f t="shared" si="22"/>
        <v/>
      </c>
      <c r="G186" s="24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25"/>
      <c r="AO186" s="25"/>
    </row>
    <row r="187" spans="2:41" x14ac:dyDescent="0.2">
      <c r="B187" s="22" t="str">
        <f>'Wzorzec kategorii'!B149</f>
        <v>Usługi inne</v>
      </c>
      <c r="C187" s="19">
        <v>0</v>
      </c>
      <c r="D187" s="20">
        <f>SUM(Tabela2750216[#This Row])</f>
        <v>0</v>
      </c>
      <c r="E187" s="20">
        <f t="shared" si="21"/>
        <v>0</v>
      </c>
      <c r="F187" s="21" t="str">
        <f t="shared" si="22"/>
        <v/>
      </c>
      <c r="G187" s="24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25"/>
      <c r="AO187" s="25"/>
    </row>
    <row r="188" spans="2:41" x14ac:dyDescent="0.2">
      <c r="B188" s="22" t="str">
        <f>'Wzorzec kategorii'!B150</f>
        <v>Podatki</v>
      </c>
      <c r="C188" s="19">
        <v>0</v>
      </c>
      <c r="D188" s="20">
        <f>SUM(Tabela2750216[#This Row])</f>
        <v>0</v>
      </c>
      <c r="E188" s="20">
        <f t="shared" si="21"/>
        <v>0</v>
      </c>
      <c r="F188" s="21" t="str">
        <f t="shared" si="22"/>
        <v/>
      </c>
      <c r="G188" s="24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25"/>
      <c r="AO188" s="25"/>
    </row>
    <row r="189" spans="2:41" x14ac:dyDescent="0.2">
      <c r="B189" s="22" t="str">
        <f>'Wzorzec kategorii'!B151</f>
        <v>Inne</v>
      </c>
      <c r="C189" s="19">
        <v>0</v>
      </c>
      <c r="D189" s="20">
        <f>SUM(Tabela2750216[#This Row])</f>
        <v>0</v>
      </c>
      <c r="E189" s="20">
        <f t="shared" si="21"/>
        <v>0</v>
      </c>
      <c r="F189" s="21" t="str">
        <f t="shared" si="22"/>
        <v/>
      </c>
      <c r="G189" s="24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25"/>
      <c r="AO189" s="25"/>
    </row>
    <row r="190" spans="2:41" x14ac:dyDescent="0.2">
      <c r="B190" s="22" t="str">
        <f>'Wzorzec kategorii'!B152</f>
        <v>.</v>
      </c>
      <c r="C190" s="19">
        <v>0</v>
      </c>
      <c r="D190" s="20">
        <f>SUM(Tabela2750216[#This Row])</f>
        <v>0</v>
      </c>
      <c r="E190" s="20">
        <f t="shared" si="21"/>
        <v>0</v>
      </c>
      <c r="F190" s="53" t="str">
        <f t="shared" si="22"/>
        <v/>
      </c>
      <c r="G190" s="54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25"/>
      <c r="AO190" s="25"/>
    </row>
    <row r="191" spans="2:41" x14ac:dyDescent="0.2">
      <c r="B191" s="22" t="str">
        <f>'Wzorzec kategorii'!B153</f>
        <v>.</v>
      </c>
      <c r="C191" s="19">
        <v>0</v>
      </c>
      <c r="D191" s="20">
        <f>SUM(Tabela2750216[#This Row])</f>
        <v>0</v>
      </c>
      <c r="E191" s="20">
        <f t="shared" si="21"/>
        <v>0</v>
      </c>
      <c r="F191" s="53" t="str">
        <f t="shared" si="22"/>
        <v/>
      </c>
      <c r="G191" s="54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25"/>
      <c r="AO191" s="25"/>
    </row>
    <row r="192" spans="2:41" x14ac:dyDescent="0.2">
      <c r="B192" s="5" t="s">
        <v>30</v>
      </c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</row>
    <row r="193" spans="2:41" x14ac:dyDescent="0.2">
      <c r="B193" s="2" t="str">
        <f>'Wzorzec kategorii'!B155</f>
        <v>Spłata długów</v>
      </c>
      <c r="C193" s="3">
        <f>SUM(Tabela1539205[[#All],[Kolumna2]])</f>
        <v>0</v>
      </c>
      <c r="D193" s="16">
        <f>SUM(Tabela1539205[[#All],[Kolumna3]])</f>
        <v>0</v>
      </c>
      <c r="E193" s="3">
        <f>C193-D193</f>
        <v>0</v>
      </c>
      <c r="F193" s="17" t="str">
        <f>IFERROR(D193/C193,"")</f>
        <v/>
      </c>
      <c r="G193" s="3"/>
      <c r="I193" s="11" t="s">
        <v>44</v>
      </c>
      <c r="J193" s="11" t="s">
        <v>45</v>
      </c>
      <c r="K193" s="11" t="s">
        <v>46</v>
      </c>
      <c r="L193" s="11" t="s">
        <v>47</v>
      </c>
      <c r="M193" s="11" t="s">
        <v>48</v>
      </c>
      <c r="N193" s="11" t="s">
        <v>49</v>
      </c>
      <c r="O193" s="11" t="s">
        <v>50</v>
      </c>
      <c r="P193" s="11" t="s">
        <v>51</v>
      </c>
      <c r="Q193" s="11" t="s">
        <v>52</v>
      </c>
      <c r="R193" s="11" t="s">
        <v>53</v>
      </c>
      <c r="S193" s="11" t="s">
        <v>54</v>
      </c>
      <c r="T193" s="11" t="s">
        <v>55</v>
      </c>
      <c r="U193" s="11" t="s">
        <v>56</v>
      </c>
      <c r="V193" s="11" t="s">
        <v>57</v>
      </c>
      <c r="W193" s="11" t="s">
        <v>58</v>
      </c>
      <c r="X193" s="11" t="s">
        <v>59</v>
      </c>
      <c r="Y193" s="11" t="s">
        <v>60</v>
      </c>
      <c r="Z193" s="11" t="s">
        <v>61</v>
      </c>
      <c r="AA193" s="11" t="s">
        <v>62</v>
      </c>
      <c r="AB193" s="11" t="s">
        <v>63</v>
      </c>
      <c r="AC193" s="11" t="s">
        <v>64</v>
      </c>
      <c r="AD193" s="11" t="s">
        <v>65</v>
      </c>
      <c r="AE193" s="11" t="s">
        <v>66</v>
      </c>
      <c r="AF193" s="11" t="s">
        <v>67</v>
      </c>
      <c r="AG193" s="11" t="s">
        <v>68</v>
      </c>
      <c r="AH193" s="11" t="s">
        <v>69</v>
      </c>
      <c r="AI193" s="11" t="s">
        <v>70</v>
      </c>
      <c r="AJ193" s="11" t="s">
        <v>71</v>
      </c>
      <c r="AK193" s="11" t="s">
        <v>72</v>
      </c>
      <c r="AL193" s="11" t="s">
        <v>73</v>
      </c>
      <c r="AM193" s="11" t="s">
        <v>74</v>
      </c>
      <c r="AN193" s="25"/>
      <c r="AO193" s="25"/>
    </row>
    <row r="194" spans="2:41" x14ac:dyDescent="0.2">
      <c r="B194" s="22" t="str">
        <f>'Wzorzec kategorii'!B156</f>
        <v>Kredyt hipoteczny</v>
      </c>
      <c r="C194" s="19">
        <v>0</v>
      </c>
      <c r="D194" s="20">
        <f>SUM(Tabela2851217[#This Row])</f>
        <v>0</v>
      </c>
      <c r="E194" s="20">
        <f t="shared" ref="E194:E203" si="23">C194-D194</f>
        <v>0</v>
      </c>
      <c r="F194" s="21" t="str">
        <f t="shared" ref="F194:F203" si="24">IFERROR(D194/C194,"")</f>
        <v/>
      </c>
      <c r="G194" s="24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25"/>
      <c r="AO194" s="25"/>
    </row>
    <row r="195" spans="2:41" x14ac:dyDescent="0.2">
      <c r="B195" s="22" t="str">
        <f>'Wzorzec kategorii'!B157</f>
        <v>Kredyt konsumpcyjny</v>
      </c>
      <c r="C195" s="19">
        <v>0</v>
      </c>
      <c r="D195" s="20">
        <f>SUM(Tabela2851217[#This Row])</f>
        <v>0</v>
      </c>
      <c r="E195" s="20">
        <f t="shared" si="23"/>
        <v>0</v>
      </c>
      <c r="F195" s="21" t="str">
        <f t="shared" si="24"/>
        <v/>
      </c>
      <c r="G195" s="24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25"/>
      <c r="AO195" s="25"/>
    </row>
    <row r="196" spans="2:41" x14ac:dyDescent="0.2">
      <c r="B196" s="22" t="str">
        <f>'Wzorzec kategorii'!B158</f>
        <v>Pożyczka osobista</v>
      </c>
      <c r="C196" s="19">
        <v>0</v>
      </c>
      <c r="D196" s="20">
        <f>SUM(Tabela2851217[#This Row])</f>
        <v>0</v>
      </c>
      <c r="E196" s="20">
        <f t="shared" si="23"/>
        <v>0</v>
      </c>
      <c r="F196" s="21" t="str">
        <f t="shared" si="24"/>
        <v/>
      </c>
      <c r="G196" s="24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25"/>
      <c r="AO196" s="25"/>
    </row>
    <row r="197" spans="2:41" x14ac:dyDescent="0.2">
      <c r="B197" s="22" t="str">
        <f>'Wzorzec kategorii'!B159</f>
        <v>Inne</v>
      </c>
      <c r="C197" s="19">
        <v>0</v>
      </c>
      <c r="D197" s="20">
        <f>SUM(Tabela2851217[#This Row])</f>
        <v>0</v>
      </c>
      <c r="E197" s="20">
        <f t="shared" si="23"/>
        <v>0</v>
      </c>
      <c r="F197" s="21" t="str">
        <f t="shared" si="24"/>
        <v/>
      </c>
      <c r="G197" s="24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25"/>
      <c r="AO197" s="25"/>
    </row>
    <row r="198" spans="2:41" x14ac:dyDescent="0.2">
      <c r="B198" s="22" t="str">
        <f>'Wzorzec kategorii'!B160</f>
        <v>.</v>
      </c>
      <c r="C198" s="19">
        <v>0</v>
      </c>
      <c r="D198" s="20">
        <f>SUM(Tabela2851217[#This Row])</f>
        <v>0</v>
      </c>
      <c r="E198" s="20">
        <f t="shared" si="23"/>
        <v>0</v>
      </c>
      <c r="F198" s="21" t="str">
        <f t="shared" si="24"/>
        <v/>
      </c>
      <c r="G198" s="24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25"/>
      <c r="AO198" s="25"/>
    </row>
    <row r="199" spans="2:41" x14ac:dyDescent="0.2">
      <c r="B199" s="22" t="str">
        <f>'Wzorzec kategorii'!B161</f>
        <v>.</v>
      </c>
      <c r="C199" s="19">
        <v>0</v>
      </c>
      <c r="D199" s="20">
        <f>SUM(Tabela2851217[#This Row])</f>
        <v>0</v>
      </c>
      <c r="E199" s="20">
        <f t="shared" si="23"/>
        <v>0</v>
      </c>
      <c r="F199" s="21" t="str">
        <f t="shared" si="24"/>
        <v/>
      </c>
      <c r="G199" s="24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25"/>
      <c r="AO199" s="25"/>
    </row>
    <row r="200" spans="2:41" x14ac:dyDescent="0.2">
      <c r="B200" s="22" t="str">
        <f>'Wzorzec kategorii'!B162</f>
        <v>.</v>
      </c>
      <c r="C200" s="19">
        <v>0</v>
      </c>
      <c r="D200" s="20">
        <f>SUM(Tabela2851217[#This Row])</f>
        <v>0</v>
      </c>
      <c r="E200" s="20">
        <f t="shared" si="23"/>
        <v>0</v>
      </c>
      <c r="F200" s="53" t="str">
        <f t="shared" si="24"/>
        <v/>
      </c>
      <c r="G200" s="54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25"/>
      <c r="AO200" s="25"/>
    </row>
    <row r="201" spans="2:41" x14ac:dyDescent="0.2">
      <c r="B201" s="22" t="str">
        <f>'Wzorzec kategorii'!B163</f>
        <v>.</v>
      </c>
      <c r="C201" s="19">
        <v>0</v>
      </c>
      <c r="D201" s="20">
        <f>SUM(Tabela2851217[#This Row])</f>
        <v>0</v>
      </c>
      <c r="E201" s="20">
        <f t="shared" si="23"/>
        <v>0</v>
      </c>
      <c r="F201" s="53" t="str">
        <f t="shared" si="24"/>
        <v/>
      </c>
      <c r="G201" s="54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25"/>
      <c r="AO201" s="25"/>
    </row>
    <row r="202" spans="2:41" x14ac:dyDescent="0.2">
      <c r="B202" s="22" t="str">
        <f>'Wzorzec kategorii'!B164</f>
        <v>.</v>
      </c>
      <c r="C202" s="19">
        <v>0</v>
      </c>
      <c r="D202" s="20">
        <f>SUM(Tabela2851217[#This Row])</f>
        <v>0</v>
      </c>
      <c r="E202" s="20">
        <f t="shared" si="23"/>
        <v>0</v>
      </c>
      <c r="F202" s="53" t="str">
        <f t="shared" si="24"/>
        <v/>
      </c>
      <c r="G202" s="54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25"/>
      <c r="AO202" s="25"/>
    </row>
    <row r="203" spans="2:41" x14ac:dyDescent="0.2">
      <c r="B203" s="22" t="str">
        <f>'Wzorzec kategorii'!B165</f>
        <v>.</v>
      </c>
      <c r="C203" s="19">
        <v>0</v>
      </c>
      <c r="D203" s="20">
        <f>SUM(Tabela2851217[#This Row])</f>
        <v>0</v>
      </c>
      <c r="E203" s="20">
        <f t="shared" si="23"/>
        <v>0</v>
      </c>
      <c r="F203" s="53" t="str">
        <f t="shared" si="24"/>
        <v/>
      </c>
      <c r="G203" s="54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25"/>
      <c r="AO203" s="25"/>
    </row>
    <row r="204" spans="2:41" x14ac:dyDescent="0.2">
      <c r="B204" s="5" t="s">
        <v>30</v>
      </c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</row>
    <row r="205" spans="2:41" x14ac:dyDescent="0.2">
      <c r="B205" s="2" t="str">
        <f>'Wzorzec kategorii'!B167</f>
        <v>Budowanie oszczędności</v>
      </c>
      <c r="C205" s="3">
        <f>SUM(Tabela1640206[[#All],[Kolumna2]])</f>
        <v>0</v>
      </c>
      <c r="D205" s="16">
        <f>SUM(Tabela1640206[[#All],[Kolumna3]])</f>
        <v>0</v>
      </c>
      <c r="E205" s="3">
        <f>C205-D205</f>
        <v>0</v>
      </c>
      <c r="F205" s="17" t="str">
        <f>IFERROR(D205/C205,"")</f>
        <v/>
      </c>
      <c r="G205" s="3"/>
      <c r="I205" s="11" t="s">
        <v>44</v>
      </c>
      <c r="J205" s="11" t="s">
        <v>45</v>
      </c>
      <c r="K205" s="11" t="s">
        <v>46</v>
      </c>
      <c r="L205" s="11" t="s">
        <v>47</v>
      </c>
      <c r="M205" s="11" t="s">
        <v>48</v>
      </c>
      <c r="N205" s="11" t="s">
        <v>49</v>
      </c>
      <c r="O205" s="11" t="s">
        <v>50</v>
      </c>
      <c r="P205" s="11" t="s">
        <v>51</v>
      </c>
      <c r="Q205" s="11" t="s">
        <v>52</v>
      </c>
      <c r="R205" s="11" t="s">
        <v>53</v>
      </c>
      <c r="S205" s="11" t="s">
        <v>54</v>
      </c>
      <c r="T205" s="11" t="s">
        <v>55</v>
      </c>
      <c r="U205" s="11" t="s">
        <v>56</v>
      </c>
      <c r="V205" s="11" t="s">
        <v>57</v>
      </c>
      <c r="W205" s="11" t="s">
        <v>58</v>
      </c>
      <c r="X205" s="11" t="s">
        <v>59</v>
      </c>
      <c r="Y205" s="11" t="s">
        <v>60</v>
      </c>
      <c r="Z205" s="11" t="s">
        <v>61</v>
      </c>
      <c r="AA205" s="11" t="s">
        <v>62</v>
      </c>
      <c r="AB205" s="11" t="s">
        <v>63</v>
      </c>
      <c r="AC205" s="11" t="s">
        <v>64</v>
      </c>
      <c r="AD205" s="11" t="s">
        <v>65</v>
      </c>
      <c r="AE205" s="11" t="s">
        <v>66</v>
      </c>
      <c r="AF205" s="11" t="s">
        <v>67</v>
      </c>
      <c r="AG205" s="11" t="s">
        <v>68</v>
      </c>
      <c r="AH205" s="11" t="s">
        <v>69</v>
      </c>
      <c r="AI205" s="11" t="s">
        <v>70</v>
      </c>
      <c r="AJ205" s="11" t="s">
        <v>71</v>
      </c>
      <c r="AK205" s="11" t="s">
        <v>72</v>
      </c>
      <c r="AL205" s="11" t="s">
        <v>73</v>
      </c>
      <c r="AM205" s="11" t="s">
        <v>74</v>
      </c>
      <c r="AN205" s="25"/>
      <c r="AO205" s="25"/>
    </row>
    <row r="206" spans="2:41" x14ac:dyDescent="0.2">
      <c r="B206" s="22" t="str">
        <f>'Wzorzec kategorii'!B168</f>
        <v>Fundusz awaryjny</v>
      </c>
      <c r="C206" s="19">
        <v>0</v>
      </c>
      <c r="D206" s="20">
        <f>SUM(Tabela192345211[#This Row])</f>
        <v>0</v>
      </c>
      <c r="E206" s="20">
        <f t="shared" ref="E206:E215" si="25">C206-D206</f>
        <v>0</v>
      </c>
      <c r="F206" s="21" t="str">
        <f t="shared" ref="F206:F215" si="26">IFERROR(D206/C206,"")</f>
        <v/>
      </c>
      <c r="G206" s="24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25"/>
      <c r="AO206" s="25"/>
    </row>
    <row r="207" spans="2:41" ht="30" x14ac:dyDescent="0.2">
      <c r="B207" s="22" t="str">
        <f>'Wzorzec kategorii'!B169</f>
        <v>Fundusz wydatków nieregularnych</v>
      </c>
      <c r="C207" s="19">
        <v>0</v>
      </c>
      <c r="D207" s="20">
        <f>SUM(Tabela192345211[#This Row])</f>
        <v>0</v>
      </c>
      <c r="E207" s="20">
        <f t="shared" si="25"/>
        <v>0</v>
      </c>
      <c r="F207" s="21" t="str">
        <f t="shared" si="26"/>
        <v/>
      </c>
      <c r="G207" s="24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25"/>
      <c r="AO207" s="25"/>
    </row>
    <row r="208" spans="2:41" x14ac:dyDescent="0.2">
      <c r="B208" s="22" t="str">
        <f>'Wzorzec kategorii'!B170</f>
        <v>Poduszka finansowa</v>
      </c>
      <c r="C208" s="19">
        <v>0</v>
      </c>
      <c r="D208" s="20">
        <f>SUM(Tabela192345211[#This Row])</f>
        <v>0</v>
      </c>
      <c r="E208" s="20">
        <f t="shared" si="25"/>
        <v>0</v>
      </c>
      <c r="F208" s="21" t="str">
        <f t="shared" si="26"/>
        <v/>
      </c>
      <c r="G208" s="24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25"/>
      <c r="AO208" s="25"/>
    </row>
    <row r="209" spans="2:41" x14ac:dyDescent="0.2">
      <c r="B209" s="22" t="str">
        <f>'Wzorzec kategorii'!B171</f>
        <v>Konto emerytalne IKE/IKZE</v>
      </c>
      <c r="C209" s="19">
        <v>0</v>
      </c>
      <c r="D209" s="20">
        <f>SUM(Tabela192345211[#This Row])</f>
        <v>0</v>
      </c>
      <c r="E209" s="20">
        <f t="shared" si="25"/>
        <v>0</v>
      </c>
      <c r="F209" s="21" t="str">
        <f t="shared" si="26"/>
        <v/>
      </c>
      <c r="G209" s="24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25"/>
      <c r="AO209" s="25"/>
    </row>
    <row r="210" spans="2:41" x14ac:dyDescent="0.2">
      <c r="B210" s="22" t="str">
        <f>'Wzorzec kategorii'!B172</f>
        <v>Nadpłata długów</v>
      </c>
      <c r="C210" s="19">
        <v>0</v>
      </c>
      <c r="D210" s="20">
        <f>SUM(Tabela192345211[#This Row])</f>
        <v>0</v>
      </c>
      <c r="E210" s="20">
        <f t="shared" si="25"/>
        <v>0</v>
      </c>
      <c r="F210" s="21" t="str">
        <f t="shared" si="26"/>
        <v/>
      </c>
      <c r="G210" s="24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25"/>
      <c r="AO210" s="25"/>
    </row>
    <row r="211" spans="2:41" x14ac:dyDescent="0.2">
      <c r="B211" s="22" t="str">
        <f>'Wzorzec kategorii'!B173</f>
        <v>Fundusz: wakacje</v>
      </c>
      <c r="C211" s="19">
        <v>0</v>
      </c>
      <c r="D211" s="20">
        <f>SUM(Tabela192345211[#This Row])</f>
        <v>0</v>
      </c>
      <c r="E211" s="20">
        <f t="shared" si="25"/>
        <v>0</v>
      </c>
      <c r="F211" s="21" t="str">
        <f t="shared" si="26"/>
        <v/>
      </c>
      <c r="G211" s="24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25"/>
      <c r="AO211" s="25"/>
    </row>
    <row r="212" spans="2:41" x14ac:dyDescent="0.2">
      <c r="B212" s="22" t="str">
        <f>'Wzorzec kategorii'!B174</f>
        <v>Fundusz: prezenty świąteczne</v>
      </c>
      <c r="C212" s="19">
        <v>0</v>
      </c>
      <c r="D212" s="20">
        <f>SUM(Tabela192345211[#This Row])</f>
        <v>0</v>
      </c>
      <c r="E212" s="20">
        <f t="shared" si="25"/>
        <v>0</v>
      </c>
      <c r="F212" s="21" t="str">
        <f t="shared" si="26"/>
        <v/>
      </c>
      <c r="G212" s="24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25"/>
      <c r="AO212" s="25"/>
    </row>
    <row r="213" spans="2:41" x14ac:dyDescent="0.2">
      <c r="B213" s="22" t="str">
        <f>'Wzorzec kategorii'!B175</f>
        <v>Inne</v>
      </c>
      <c r="C213" s="19">
        <v>0</v>
      </c>
      <c r="D213" s="20">
        <f>SUM(Tabela192345211[#This Row])</f>
        <v>0</v>
      </c>
      <c r="E213" s="20">
        <f t="shared" si="25"/>
        <v>0</v>
      </c>
      <c r="F213" s="21" t="str">
        <f t="shared" si="26"/>
        <v/>
      </c>
      <c r="G213" s="24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25"/>
      <c r="AO213" s="25"/>
    </row>
    <row r="214" spans="2:41" x14ac:dyDescent="0.2">
      <c r="B214" s="22" t="str">
        <f>'Wzorzec kategorii'!B176</f>
        <v>.</v>
      </c>
      <c r="C214" s="19">
        <v>0</v>
      </c>
      <c r="D214" s="20">
        <f>SUM(Tabela192345211[#This Row])</f>
        <v>0</v>
      </c>
      <c r="E214" s="20">
        <f t="shared" si="25"/>
        <v>0</v>
      </c>
      <c r="F214" s="53" t="str">
        <f t="shared" si="26"/>
        <v/>
      </c>
      <c r="G214" s="54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25"/>
      <c r="AO214" s="25"/>
    </row>
    <row r="215" spans="2:41" x14ac:dyDescent="0.2">
      <c r="B215" s="22" t="str">
        <f>'Wzorzec kategorii'!B177</f>
        <v>.</v>
      </c>
      <c r="C215" s="19">
        <v>0</v>
      </c>
      <c r="D215" s="20">
        <f>SUM(Tabela192345211[#This Row])</f>
        <v>0</v>
      </c>
      <c r="E215" s="20">
        <f t="shared" si="25"/>
        <v>0</v>
      </c>
      <c r="F215" s="53" t="str">
        <f t="shared" si="26"/>
        <v/>
      </c>
      <c r="G215" s="54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25"/>
      <c r="AO215" s="25"/>
    </row>
    <row r="216" spans="2:41" x14ac:dyDescent="0.2"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</row>
    <row r="217" spans="2:41" x14ac:dyDescent="0.2">
      <c r="B217" s="2" t="str">
        <f>'Wzorzec kategorii'!B179</f>
        <v>INNE 1</v>
      </c>
      <c r="C217" s="3">
        <f>SUM(Tabela164058218[[#All],[Kolumna2]])</f>
        <v>0</v>
      </c>
      <c r="D217" s="16">
        <f>SUM(Tabela164058218[[#All],[Kolumna3]])</f>
        <v>0</v>
      </c>
      <c r="E217" s="3">
        <f>C217-D217</f>
        <v>0</v>
      </c>
      <c r="F217" s="17" t="str">
        <f>IFERROR(D217/C217,"")</f>
        <v/>
      </c>
      <c r="G217" s="3"/>
      <c r="I217" s="11" t="s">
        <v>44</v>
      </c>
      <c r="J217" s="11" t="s">
        <v>45</v>
      </c>
      <c r="K217" s="11" t="s">
        <v>46</v>
      </c>
      <c r="L217" s="11" t="s">
        <v>47</v>
      </c>
      <c r="M217" s="11" t="s">
        <v>48</v>
      </c>
      <c r="N217" s="11" t="s">
        <v>49</v>
      </c>
      <c r="O217" s="11" t="s">
        <v>50</v>
      </c>
      <c r="P217" s="11" t="s">
        <v>51</v>
      </c>
      <c r="Q217" s="11" t="s">
        <v>52</v>
      </c>
      <c r="R217" s="11" t="s">
        <v>53</v>
      </c>
      <c r="S217" s="11" t="s">
        <v>54</v>
      </c>
      <c r="T217" s="11" t="s">
        <v>55</v>
      </c>
      <c r="U217" s="11" t="s">
        <v>56</v>
      </c>
      <c r="V217" s="11" t="s">
        <v>57</v>
      </c>
      <c r="W217" s="11" t="s">
        <v>58</v>
      </c>
      <c r="X217" s="11" t="s">
        <v>59</v>
      </c>
      <c r="Y217" s="11" t="s">
        <v>60</v>
      </c>
      <c r="Z217" s="11" t="s">
        <v>61</v>
      </c>
      <c r="AA217" s="11" t="s">
        <v>62</v>
      </c>
      <c r="AB217" s="11" t="s">
        <v>63</v>
      </c>
      <c r="AC217" s="11" t="s">
        <v>64</v>
      </c>
      <c r="AD217" s="11" t="s">
        <v>65</v>
      </c>
      <c r="AE217" s="11" t="s">
        <v>66</v>
      </c>
      <c r="AF217" s="11" t="s">
        <v>67</v>
      </c>
      <c r="AG217" s="11" t="s">
        <v>68</v>
      </c>
      <c r="AH217" s="11" t="s">
        <v>69</v>
      </c>
      <c r="AI217" s="11" t="s">
        <v>70</v>
      </c>
      <c r="AJ217" s="11" t="s">
        <v>71</v>
      </c>
      <c r="AK217" s="11" t="s">
        <v>72</v>
      </c>
      <c r="AL217" s="11" t="s">
        <v>73</v>
      </c>
      <c r="AM217" s="11" t="s">
        <v>74</v>
      </c>
    </row>
    <row r="218" spans="2:41" x14ac:dyDescent="0.2">
      <c r="B218" s="22" t="str">
        <f>'Wzorzec kategorii'!B180</f>
        <v>.</v>
      </c>
      <c r="C218" s="19">
        <v>0</v>
      </c>
      <c r="D218" s="20">
        <f>SUM(Tabela19234559219[#This Row])</f>
        <v>0</v>
      </c>
      <c r="E218" s="20">
        <f t="shared" ref="E218:E227" si="27">C218-D218</f>
        <v>0</v>
      </c>
      <c r="F218" s="21" t="str">
        <f t="shared" ref="F218:F227" si="28">IFERROR(D218/C218,"")</f>
        <v/>
      </c>
      <c r="G218" s="24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2:41" x14ac:dyDescent="0.2">
      <c r="B219" s="22" t="str">
        <f>'Wzorzec kategorii'!B181</f>
        <v>.</v>
      </c>
      <c r="C219" s="19">
        <v>0</v>
      </c>
      <c r="D219" s="20">
        <f>SUM(Tabela19234559219[#This Row])</f>
        <v>0</v>
      </c>
      <c r="E219" s="20">
        <f t="shared" si="27"/>
        <v>0</v>
      </c>
      <c r="F219" s="21" t="str">
        <f t="shared" si="28"/>
        <v/>
      </c>
      <c r="G219" s="24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 spans="2:41" x14ac:dyDescent="0.2">
      <c r="B220" s="22" t="str">
        <f>'Wzorzec kategorii'!B182</f>
        <v>.</v>
      </c>
      <c r="C220" s="19">
        <v>0</v>
      </c>
      <c r="D220" s="20">
        <f>SUM(Tabela19234559219[#This Row])</f>
        <v>0</v>
      </c>
      <c r="E220" s="20">
        <f t="shared" si="27"/>
        <v>0</v>
      </c>
      <c r="F220" s="21" t="str">
        <f t="shared" si="28"/>
        <v/>
      </c>
      <c r="G220" s="24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 spans="2:41" x14ac:dyDescent="0.2">
      <c r="B221" s="22" t="str">
        <f>'Wzorzec kategorii'!B183</f>
        <v>.</v>
      </c>
      <c r="C221" s="19">
        <v>0</v>
      </c>
      <c r="D221" s="20">
        <f>SUM(Tabela19234559219[#This Row])</f>
        <v>0</v>
      </c>
      <c r="E221" s="20">
        <f t="shared" si="27"/>
        <v>0</v>
      </c>
      <c r="F221" s="21" t="str">
        <f t="shared" si="28"/>
        <v/>
      </c>
      <c r="G221" s="24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 spans="2:41" x14ac:dyDescent="0.2">
      <c r="B222" s="22" t="str">
        <f>'Wzorzec kategorii'!B184</f>
        <v>.</v>
      </c>
      <c r="C222" s="19">
        <v>0</v>
      </c>
      <c r="D222" s="20">
        <f>SUM(Tabela19234559219[#This Row])</f>
        <v>0</v>
      </c>
      <c r="E222" s="20">
        <f t="shared" si="27"/>
        <v>0</v>
      </c>
      <c r="F222" s="21" t="str">
        <f t="shared" si="28"/>
        <v/>
      </c>
      <c r="G222" s="24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</row>
    <row r="223" spans="2:41" x14ac:dyDescent="0.2">
      <c r="B223" s="22" t="str">
        <f>'Wzorzec kategorii'!B185</f>
        <v>.</v>
      </c>
      <c r="C223" s="19">
        <v>0</v>
      </c>
      <c r="D223" s="20">
        <f>SUM(Tabela19234559219[#This Row])</f>
        <v>0</v>
      </c>
      <c r="E223" s="20">
        <f t="shared" si="27"/>
        <v>0</v>
      </c>
      <c r="F223" s="21" t="str">
        <f t="shared" si="28"/>
        <v/>
      </c>
      <c r="G223" s="24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</row>
    <row r="224" spans="2:41" x14ac:dyDescent="0.2">
      <c r="B224" s="22" t="str">
        <f>'Wzorzec kategorii'!B186</f>
        <v>.</v>
      </c>
      <c r="C224" s="19">
        <v>0</v>
      </c>
      <c r="D224" s="20">
        <f>SUM(Tabela19234559219[#This Row])</f>
        <v>0</v>
      </c>
      <c r="E224" s="20">
        <f t="shared" si="27"/>
        <v>0</v>
      </c>
      <c r="F224" s="21" t="str">
        <f t="shared" si="28"/>
        <v/>
      </c>
      <c r="G224" s="24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2:39" x14ac:dyDescent="0.2">
      <c r="B225" s="22" t="str">
        <f>'Wzorzec kategorii'!B187</f>
        <v>.</v>
      </c>
      <c r="C225" s="19">
        <v>0</v>
      </c>
      <c r="D225" s="20">
        <f>SUM(Tabela19234559219[#This Row])</f>
        <v>0</v>
      </c>
      <c r="E225" s="20">
        <f t="shared" si="27"/>
        <v>0</v>
      </c>
      <c r="F225" s="21" t="str">
        <f t="shared" si="28"/>
        <v/>
      </c>
      <c r="G225" s="24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 spans="2:39" x14ac:dyDescent="0.2">
      <c r="B226" s="22" t="str">
        <f>'Wzorzec kategorii'!B188</f>
        <v>.</v>
      </c>
      <c r="C226" s="19">
        <v>0</v>
      </c>
      <c r="D226" s="20">
        <f>SUM(Tabela19234559219[#This Row])</f>
        <v>0</v>
      </c>
      <c r="E226" s="20">
        <f t="shared" si="27"/>
        <v>0</v>
      </c>
      <c r="F226" s="53" t="str">
        <f t="shared" si="28"/>
        <v/>
      </c>
      <c r="G226" s="54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</row>
    <row r="227" spans="2:39" x14ac:dyDescent="0.2">
      <c r="B227" s="22" t="str">
        <f>'Wzorzec kategorii'!B189</f>
        <v>.</v>
      </c>
      <c r="C227" s="19">
        <v>0</v>
      </c>
      <c r="D227" s="20">
        <f>SUM(Tabela19234559219[#This Row])</f>
        <v>0</v>
      </c>
      <c r="E227" s="20">
        <f t="shared" si="27"/>
        <v>0</v>
      </c>
      <c r="F227" s="53" t="str">
        <f t="shared" si="28"/>
        <v/>
      </c>
      <c r="G227" s="54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</row>
    <row r="228" spans="2:39" x14ac:dyDescent="0.2"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</row>
    <row r="229" spans="2:39" x14ac:dyDescent="0.2">
      <c r="B229" s="2" t="str">
        <f>'Wzorzec kategorii'!B191</f>
        <v>INNE 2</v>
      </c>
      <c r="C229" s="3">
        <f>SUM(Tabela16405860220[[#All],[Kolumna2]])</f>
        <v>0</v>
      </c>
      <c r="D229" s="16">
        <f>SUM(Tabela16405860220[[#All],[Kolumna3]])</f>
        <v>0</v>
      </c>
      <c r="E229" s="3">
        <f>C229-D229</f>
        <v>0</v>
      </c>
      <c r="F229" s="17" t="str">
        <f>IFERROR(D229/C229,"")</f>
        <v/>
      </c>
      <c r="G229" s="3"/>
      <c r="I229" s="11" t="s">
        <v>44</v>
      </c>
      <c r="J229" s="11" t="s">
        <v>45</v>
      </c>
      <c r="K229" s="11" t="s">
        <v>46</v>
      </c>
      <c r="L229" s="11" t="s">
        <v>47</v>
      </c>
      <c r="M229" s="11" t="s">
        <v>48</v>
      </c>
      <c r="N229" s="11" t="s">
        <v>49</v>
      </c>
      <c r="O229" s="11" t="s">
        <v>50</v>
      </c>
      <c r="P229" s="11" t="s">
        <v>51</v>
      </c>
      <c r="Q229" s="11" t="s">
        <v>52</v>
      </c>
      <c r="R229" s="11" t="s">
        <v>53</v>
      </c>
      <c r="S229" s="11" t="s">
        <v>54</v>
      </c>
      <c r="T229" s="11" t="s">
        <v>55</v>
      </c>
      <c r="U229" s="11" t="s">
        <v>56</v>
      </c>
      <c r="V229" s="11" t="s">
        <v>57</v>
      </c>
      <c r="W229" s="11" t="s">
        <v>58</v>
      </c>
      <c r="X229" s="11" t="s">
        <v>59</v>
      </c>
      <c r="Y229" s="11" t="s">
        <v>60</v>
      </c>
      <c r="Z229" s="11" t="s">
        <v>61</v>
      </c>
      <c r="AA229" s="11" t="s">
        <v>62</v>
      </c>
      <c r="AB229" s="11" t="s">
        <v>63</v>
      </c>
      <c r="AC229" s="11" t="s">
        <v>64</v>
      </c>
      <c r="AD229" s="11" t="s">
        <v>65</v>
      </c>
      <c r="AE229" s="11" t="s">
        <v>66</v>
      </c>
      <c r="AF229" s="11" t="s">
        <v>67</v>
      </c>
      <c r="AG229" s="11" t="s">
        <v>68</v>
      </c>
      <c r="AH229" s="11" t="s">
        <v>69</v>
      </c>
      <c r="AI229" s="11" t="s">
        <v>70</v>
      </c>
      <c r="AJ229" s="11" t="s">
        <v>71</v>
      </c>
      <c r="AK229" s="11" t="s">
        <v>72</v>
      </c>
      <c r="AL229" s="11" t="s">
        <v>73</v>
      </c>
      <c r="AM229" s="11" t="s">
        <v>74</v>
      </c>
    </row>
    <row r="230" spans="2:39" x14ac:dyDescent="0.2">
      <c r="B230" s="22" t="str">
        <f>'Wzorzec kategorii'!B192</f>
        <v>.</v>
      </c>
      <c r="C230" s="19">
        <v>0</v>
      </c>
      <c r="D230" s="20">
        <f>SUM(Tabela1923455962222[#This Row])</f>
        <v>0</v>
      </c>
      <c r="E230" s="20">
        <f t="shared" ref="E230:E239" si="29">C230-D230</f>
        <v>0</v>
      </c>
      <c r="F230" s="21" t="str">
        <f t="shared" ref="F230:F239" si="30">IFERROR(D230/C230,"")</f>
        <v/>
      </c>
      <c r="G230" s="24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2:39" x14ac:dyDescent="0.2">
      <c r="B231" s="22" t="str">
        <f>'Wzorzec kategorii'!B193</f>
        <v>.</v>
      </c>
      <c r="C231" s="19">
        <v>0</v>
      </c>
      <c r="D231" s="20">
        <f>SUM(Tabela1923455962222[#This Row])</f>
        <v>0</v>
      </c>
      <c r="E231" s="20">
        <f t="shared" si="29"/>
        <v>0</v>
      </c>
      <c r="F231" s="21" t="str">
        <f t="shared" si="30"/>
        <v/>
      </c>
      <c r="G231" s="24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 spans="2:39" x14ac:dyDescent="0.2">
      <c r="B232" s="22" t="str">
        <f>'Wzorzec kategorii'!B194</f>
        <v>.</v>
      </c>
      <c r="C232" s="19">
        <v>0</v>
      </c>
      <c r="D232" s="20">
        <f>SUM(Tabela1923455962222[#This Row])</f>
        <v>0</v>
      </c>
      <c r="E232" s="20">
        <f t="shared" si="29"/>
        <v>0</v>
      </c>
      <c r="F232" s="21" t="str">
        <f t="shared" si="30"/>
        <v/>
      </c>
      <c r="G232" s="24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</row>
    <row r="233" spans="2:39" x14ac:dyDescent="0.2">
      <c r="B233" s="22" t="str">
        <f>'Wzorzec kategorii'!B195</f>
        <v>.</v>
      </c>
      <c r="C233" s="19">
        <v>0</v>
      </c>
      <c r="D233" s="20">
        <f>SUM(Tabela1923455962222[#This Row])</f>
        <v>0</v>
      </c>
      <c r="E233" s="20">
        <f t="shared" si="29"/>
        <v>0</v>
      </c>
      <c r="F233" s="21" t="str">
        <f t="shared" si="30"/>
        <v/>
      </c>
      <c r="G233" s="24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2:39" x14ac:dyDescent="0.2">
      <c r="B234" s="22" t="str">
        <f>'Wzorzec kategorii'!B196</f>
        <v>.</v>
      </c>
      <c r="C234" s="19">
        <v>0</v>
      </c>
      <c r="D234" s="20">
        <f>SUM(Tabela1923455962222[#This Row])</f>
        <v>0</v>
      </c>
      <c r="E234" s="20">
        <f t="shared" si="29"/>
        <v>0</v>
      </c>
      <c r="F234" s="21" t="str">
        <f t="shared" si="30"/>
        <v/>
      </c>
      <c r="G234" s="24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 spans="2:39" x14ac:dyDescent="0.2">
      <c r="B235" s="22" t="str">
        <f>'Wzorzec kategorii'!B197</f>
        <v>.</v>
      </c>
      <c r="C235" s="19">
        <v>0</v>
      </c>
      <c r="D235" s="20">
        <f>SUM(Tabela1923455962222[#This Row])</f>
        <v>0</v>
      </c>
      <c r="E235" s="20">
        <f t="shared" si="29"/>
        <v>0</v>
      </c>
      <c r="F235" s="21" t="str">
        <f t="shared" si="30"/>
        <v/>
      </c>
      <c r="G235" s="24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 spans="2:39" x14ac:dyDescent="0.2">
      <c r="B236" s="22" t="str">
        <f>'Wzorzec kategorii'!B198</f>
        <v>.</v>
      </c>
      <c r="C236" s="19">
        <v>0</v>
      </c>
      <c r="D236" s="20">
        <f>SUM(Tabela1923455962222[#This Row])</f>
        <v>0</v>
      </c>
      <c r="E236" s="20">
        <f t="shared" si="29"/>
        <v>0</v>
      </c>
      <c r="F236" s="21" t="str">
        <f t="shared" si="30"/>
        <v/>
      </c>
      <c r="G236" s="24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 spans="2:39" x14ac:dyDescent="0.2">
      <c r="B237" s="22" t="str">
        <f>'Wzorzec kategorii'!B199</f>
        <v>.</v>
      </c>
      <c r="C237" s="19">
        <v>0</v>
      </c>
      <c r="D237" s="20">
        <f>SUM(Tabela1923455962222[#This Row])</f>
        <v>0</v>
      </c>
      <c r="E237" s="20">
        <f t="shared" si="29"/>
        <v>0</v>
      </c>
      <c r="F237" s="21" t="str">
        <f t="shared" si="30"/>
        <v/>
      </c>
      <c r="G237" s="24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 spans="2:39" x14ac:dyDescent="0.2">
      <c r="B238" s="22" t="str">
        <f>'Wzorzec kategorii'!B200</f>
        <v>.</v>
      </c>
      <c r="C238" s="19">
        <v>0</v>
      </c>
      <c r="D238" s="20">
        <f>SUM(Tabela1923455962222[#This Row])</f>
        <v>0</v>
      </c>
      <c r="E238" s="20">
        <f t="shared" si="29"/>
        <v>0</v>
      </c>
      <c r="F238" s="53" t="str">
        <f t="shared" si="30"/>
        <v/>
      </c>
      <c r="G238" s="54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</row>
    <row r="239" spans="2:39" x14ac:dyDescent="0.2">
      <c r="B239" s="22" t="str">
        <f>'Wzorzec kategorii'!B201</f>
        <v>.</v>
      </c>
      <c r="C239" s="19">
        <v>0</v>
      </c>
      <c r="D239" s="20">
        <f>SUM(Tabela1923455962222[#This Row])</f>
        <v>0</v>
      </c>
      <c r="E239" s="20">
        <f t="shared" si="29"/>
        <v>0</v>
      </c>
      <c r="F239" s="53" t="str">
        <f t="shared" si="30"/>
        <v/>
      </c>
      <c r="G239" s="54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</row>
    <row r="240" spans="2:39" x14ac:dyDescent="0.2"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</row>
    <row r="241" spans="2:39" x14ac:dyDescent="0.2">
      <c r="B241" s="2" t="str">
        <f>'Wzorzec kategorii'!B203</f>
        <v>INNE 3</v>
      </c>
      <c r="C241" s="3">
        <f>SUM(Tabela1640586061221[[#All],[Kolumna2]])</f>
        <v>0</v>
      </c>
      <c r="D241" s="16">
        <f>SUM(Tabela1640586061221[[#All],[Kolumna3]])</f>
        <v>0</v>
      </c>
      <c r="E241" s="3">
        <f>C241-D241</f>
        <v>0</v>
      </c>
      <c r="F241" s="17" t="str">
        <f>IFERROR(D241/C241,"")</f>
        <v/>
      </c>
      <c r="G241" s="3"/>
      <c r="I241" s="11" t="s">
        <v>44</v>
      </c>
      <c r="J241" s="11" t="s">
        <v>45</v>
      </c>
      <c r="K241" s="11" t="s">
        <v>46</v>
      </c>
      <c r="L241" s="11" t="s">
        <v>47</v>
      </c>
      <c r="M241" s="11" t="s">
        <v>48</v>
      </c>
      <c r="N241" s="11" t="s">
        <v>49</v>
      </c>
      <c r="O241" s="11" t="s">
        <v>50</v>
      </c>
      <c r="P241" s="11" t="s">
        <v>51</v>
      </c>
      <c r="Q241" s="11" t="s">
        <v>52</v>
      </c>
      <c r="R241" s="11" t="s">
        <v>53</v>
      </c>
      <c r="S241" s="11" t="s">
        <v>54</v>
      </c>
      <c r="T241" s="11" t="s">
        <v>55</v>
      </c>
      <c r="U241" s="11" t="s">
        <v>56</v>
      </c>
      <c r="V241" s="11" t="s">
        <v>57</v>
      </c>
      <c r="W241" s="11" t="s">
        <v>58</v>
      </c>
      <c r="X241" s="11" t="s">
        <v>59</v>
      </c>
      <c r="Y241" s="11" t="s">
        <v>60</v>
      </c>
      <c r="Z241" s="11" t="s">
        <v>61</v>
      </c>
      <c r="AA241" s="11" t="s">
        <v>62</v>
      </c>
      <c r="AB241" s="11" t="s">
        <v>63</v>
      </c>
      <c r="AC241" s="11" t="s">
        <v>64</v>
      </c>
      <c r="AD241" s="11" t="s">
        <v>65</v>
      </c>
      <c r="AE241" s="11" t="s">
        <v>66</v>
      </c>
      <c r="AF241" s="11" t="s">
        <v>67</v>
      </c>
      <c r="AG241" s="11" t="s">
        <v>68</v>
      </c>
      <c r="AH241" s="11" t="s">
        <v>69</v>
      </c>
      <c r="AI241" s="11" t="s">
        <v>70</v>
      </c>
      <c r="AJ241" s="11" t="s">
        <v>71</v>
      </c>
      <c r="AK241" s="11" t="s">
        <v>72</v>
      </c>
      <c r="AL241" s="11" t="s">
        <v>73</v>
      </c>
      <c r="AM241" s="11" t="s">
        <v>74</v>
      </c>
    </row>
    <row r="242" spans="2:39" x14ac:dyDescent="0.2">
      <c r="B242" s="22" t="str">
        <f>'Wzorzec kategorii'!B204</f>
        <v>.</v>
      </c>
      <c r="C242" s="19">
        <v>0</v>
      </c>
      <c r="D242" s="20">
        <f>SUM(Tabela1923455963223[#This Row])</f>
        <v>0</v>
      </c>
      <c r="E242" s="20">
        <f t="shared" ref="E242:E251" si="31">C242-D242</f>
        <v>0</v>
      </c>
      <c r="F242" s="21" t="str">
        <f t="shared" ref="F242:F251" si="32">IFERROR(D242/C242,"")</f>
        <v/>
      </c>
      <c r="G242" s="24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2:39" x14ac:dyDescent="0.2">
      <c r="B243" s="22" t="str">
        <f>'Wzorzec kategorii'!B205</f>
        <v>.</v>
      </c>
      <c r="C243" s="19">
        <v>0</v>
      </c>
      <c r="D243" s="20">
        <f>SUM(Tabela1923455963223[#This Row])</f>
        <v>0</v>
      </c>
      <c r="E243" s="20">
        <f t="shared" si="31"/>
        <v>0</v>
      </c>
      <c r="F243" s="21" t="str">
        <f t="shared" si="32"/>
        <v/>
      </c>
      <c r="G243" s="24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 spans="2:39" x14ac:dyDescent="0.2">
      <c r="B244" s="22" t="str">
        <f>'Wzorzec kategorii'!B206</f>
        <v>.</v>
      </c>
      <c r="C244" s="19">
        <v>0</v>
      </c>
      <c r="D244" s="20">
        <f>SUM(Tabela1923455963223[#This Row])</f>
        <v>0</v>
      </c>
      <c r="E244" s="20">
        <f t="shared" si="31"/>
        <v>0</v>
      </c>
      <c r="F244" s="21" t="str">
        <f t="shared" si="32"/>
        <v/>
      </c>
      <c r="G244" s="24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 spans="2:39" x14ac:dyDescent="0.2">
      <c r="B245" s="22" t="str">
        <f>'Wzorzec kategorii'!B207</f>
        <v>.</v>
      </c>
      <c r="C245" s="19">
        <v>0</v>
      </c>
      <c r="D245" s="20">
        <f>SUM(Tabela1923455963223[#This Row])</f>
        <v>0</v>
      </c>
      <c r="E245" s="20">
        <f t="shared" si="31"/>
        <v>0</v>
      </c>
      <c r="F245" s="21" t="str">
        <f t="shared" si="32"/>
        <v/>
      </c>
      <c r="G245" s="24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2:39" x14ac:dyDescent="0.2">
      <c r="B246" s="22" t="str">
        <f>'Wzorzec kategorii'!B208</f>
        <v>.</v>
      </c>
      <c r="C246" s="19">
        <v>0</v>
      </c>
      <c r="D246" s="20">
        <f>SUM(Tabela1923455963223[#This Row])</f>
        <v>0</v>
      </c>
      <c r="E246" s="20">
        <f t="shared" si="31"/>
        <v>0</v>
      </c>
      <c r="F246" s="21" t="str">
        <f t="shared" si="32"/>
        <v/>
      </c>
      <c r="G246" s="24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 spans="2:39" x14ac:dyDescent="0.2">
      <c r="B247" s="22" t="str">
        <f>'Wzorzec kategorii'!B209</f>
        <v>.</v>
      </c>
      <c r="C247" s="19">
        <v>0</v>
      </c>
      <c r="D247" s="20">
        <f>SUM(Tabela1923455963223[#This Row])</f>
        <v>0</v>
      </c>
      <c r="E247" s="20">
        <f t="shared" si="31"/>
        <v>0</v>
      </c>
      <c r="F247" s="21" t="str">
        <f t="shared" si="32"/>
        <v/>
      </c>
      <c r="G247" s="24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</row>
    <row r="248" spans="2:39" x14ac:dyDescent="0.2">
      <c r="B248" s="22" t="str">
        <f>'Wzorzec kategorii'!B210</f>
        <v>.</v>
      </c>
      <c r="C248" s="19">
        <v>0</v>
      </c>
      <c r="D248" s="20">
        <f>SUM(Tabela1923455963223[#This Row])</f>
        <v>0</v>
      </c>
      <c r="E248" s="20">
        <f t="shared" si="31"/>
        <v>0</v>
      </c>
      <c r="F248" s="21" t="str">
        <f t="shared" si="32"/>
        <v/>
      </c>
      <c r="G248" s="24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 spans="2:39" x14ac:dyDescent="0.2">
      <c r="B249" s="22" t="str">
        <f>'Wzorzec kategorii'!B211</f>
        <v>.</v>
      </c>
      <c r="C249" s="19">
        <v>0</v>
      </c>
      <c r="D249" s="20">
        <f>SUM(Tabela1923455963223[#This Row])</f>
        <v>0</v>
      </c>
      <c r="E249" s="20">
        <f t="shared" si="31"/>
        <v>0</v>
      </c>
      <c r="F249" s="21" t="str">
        <f t="shared" si="32"/>
        <v/>
      </c>
      <c r="G249" s="24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 spans="2:39" x14ac:dyDescent="0.2">
      <c r="B250" s="22" t="str">
        <f>'Wzorzec kategorii'!B212</f>
        <v>.</v>
      </c>
      <c r="C250" s="19">
        <v>0</v>
      </c>
      <c r="D250" s="20">
        <f>SUM(Tabela1923455963223[#This Row])</f>
        <v>0</v>
      </c>
      <c r="E250" s="20">
        <f t="shared" si="31"/>
        <v>0</v>
      </c>
      <c r="F250" s="53" t="str">
        <f t="shared" si="32"/>
        <v/>
      </c>
      <c r="G250" s="54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</row>
    <row r="251" spans="2:39" x14ac:dyDescent="0.2">
      <c r="B251" s="22" t="str">
        <f>'Wzorzec kategorii'!B213</f>
        <v>.</v>
      </c>
      <c r="C251" s="19">
        <v>0</v>
      </c>
      <c r="D251" s="20">
        <f>SUM(Tabela1923455963223[#This Row])</f>
        <v>0</v>
      </c>
      <c r="E251" s="20">
        <f t="shared" si="31"/>
        <v>0</v>
      </c>
      <c r="F251" s="53" t="str">
        <f t="shared" si="32"/>
        <v/>
      </c>
      <c r="G251" s="54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</row>
    <row r="252" spans="2:39" x14ac:dyDescent="0.2"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</row>
    <row r="253" spans="2:39" ht="30" x14ac:dyDescent="0.2">
      <c r="C253" s="9" t="s">
        <v>131</v>
      </c>
      <c r="D253" s="10" t="s">
        <v>135</v>
      </c>
      <c r="E253" s="8" t="s">
        <v>129</v>
      </c>
      <c r="I253" s="9" t="s">
        <v>44</v>
      </c>
      <c r="J253" s="9" t="s">
        <v>45</v>
      </c>
      <c r="K253" s="9" t="s">
        <v>46</v>
      </c>
      <c r="L253" s="9" t="s">
        <v>47</v>
      </c>
      <c r="M253" s="9" t="s">
        <v>48</v>
      </c>
      <c r="N253" s="9" t="s">
        <v>49</v>
      </c>
      <c r="O253" s="9" t="s">
        <v>50</v>
      </c>
      <c r="P253" s="9" t="s">
        <v>51</v>
      </c>
      <c r="Q253" s="9" t="s">
        <v>52</v>
      </c>
      <c r="R253" s="9" t="s">
        <v>53</v>
      </c>
      <c r="S253" s="9" t="s">
        <v>54</v>
      </c>
      <c r="T253" s="9" t="s">
        <v>55</v>
      </c>
      <c r="U253" s="9" t="s">
        <v>56</v>
      </c>
      <c r="V253" s="9" t="s">
        <v>57</v>
      </c>
      <c r="W253" s="9" t="s">
        <v>58</v>
      </c>
      <c r="X253" s="9" t="s">
        <v>59</v>
      </c>
      <c r="Y253" s="9" t="s">
        <v>60</v>
      </c>
      <c r="Z253" s="9" t="s">
        <v>61</v>
      </c>
      <c r="AA253" s="9" t="s">
        <v>62</v>
      </c>
      <c r="AB253" s="9" t="s">
        <v>63</v>
      </c>
      <c r="AC253" s="9" t="s">
        <v>64</v>
      </c>
      <c r="AD253" s="9" t="s">
        <v>65</v>
      </c>
      <c r="AE253" s="9" t="s">
        <v>66</v>
      </c>
      <c r="AF253" s="9" t="s">
        <v>67</v>
      </c>
      <c r="AG253" s="9" t="s">
        <v>68</v>
      </c>
      <c r="AH253" s="9" t="s">
        <v>69</v>
      </c>
      <c r="AI253" s="9" t="s">
        <v>70</v>
      </c>
      <c r="AJ253" s="9" t="s">
        <v>71</v>
      </c>
      <c r="AK253" s="9" t="s">
        <v>72</v>
      </c>
      <c r="AL253" s="9" t="s">
        <v>73</v>
      </c>
      <c r="AM253" s="9" t="s">
        <v>74</v>
      </c>
    </row>
    <row r="254" spans="2:39" ht="22" customHeight="1" x14ac:dyDescent="0.2">
      <c r="B254" s="39" t="s">
        <v>31</v>
      </c>
      <c r="C254" s="40">
        <f>C71</f>
        <v>0</v>
      </c>
      <c r="D254" s="40">
        <f>D71</f>
        <v>0</v>
      </c>
      <c r="E254" s="40">
        <f>C254-D254</f>
        <v>0</v>
      </c>
      <c r="G254" s="39" t="s">
        <v>126</v>
      </c>
      <c r="I254" s="43">
        <f>SUM(I73:I251)</f>
        <v>0</v>
      </c>
      <c r="J254" s="43">
        <f>SUM(J73:J251)</f>
        <v>0</v>
      </c>
      <c r="K254" s="43">
        <f>SUM(K73:K251)</f>
        <v>0</v>
      </c>
      <c r="L254" s="43">
        <f t="shared" ref="L254:AM254" si="33">SUM(L73:L251)</f>
        <v>0</v>
      </c>
      <c r="M254" s="43">
        <f t="shared" si="33"/>
        <v>0</v>
      </c>
      <c r="N254" s="43">
        <f t="shared" si="33"/>
        <v>0</v>
      </c>
      <c r="O254" s="43">
        <f t="shared" si="33"/>
        <v>0</v>
      </c>
      <c r="P254" s="43">
        <f t="shared" si="33"/>
        <v>0</v>
      </c>
      <c r="Q254" s="43">
        <f t="shared" si="33"/>
        <v>0</v>
      </c>
      <c r="R254" s="43">
        <f t="shared" si="33"/>
        <v>0</v>
      </c>
      <c r="S254" s="43">
        <f t="shared" si="33"/>
        <v>0</v>
      </c>
      <c r="T254" s="43">
        <f t="shared" si="33"/>
        <v>0</v>
      </c>
      <c r="U254" s="43">
        <f t="shared" si="33"/>
        <v>0</v>
      </c>
      <c r="V254" s="43">
        <f t="shared" si="33"/>
        <v>0</v>
      </c>
      <c r="W254" s="43">
        <f t="shared" si="33"/>
        <v>0</v>
      </c>
      <c r="X254" s="43">
        <f t="shared" si="33"/>
        <v>0</v>
      </c>
      <c r="Y254" s="43">
        <f t="shared" si="33"/>
        <v>0</v>
      </c>
      <c r="Z254" s="43">
        <f t="shared" si="33"/>
        <v>0</v>
      </c>
      <c r="AA254" s="43">
        <f t="shared" si="33"/>
        <v>0</v>
      </c>
      <c r="AB254" s="43">
        <f t="shared" si="33"/>
        <v>0</v>
      </c>
      <c r="AC254" s="43">
        <f t="shared" si="33"/>
        <v>0</v>
      </c>
      <c r="AD254" s="43">
        <f t="shared" si="33"/>
        <v>0</v>
      </c>
      <c r="AE254" s="43">
        <f t="shared" si="33"/>
        <v>0</v>
      </c>
      <c r="AF254" s="43">
        <f t="shared" si="33"/>
        <v>0</v>
      </c>
      <c r="AG254" s="43">
        <f t="shared" si="33"/>
        <v>0</v>
      </c>
      <c r="AH254" s="43">
        <f t="shared" si="33"/>
        <v>0</v>
      </c>
      <c r="AI254" s="43">
        <f t="shared" si="33"/>
        <v>0</v>
      </c>
      <c r="AJ254" s="43">
        <f t="shared" si="33"/>
        <v>0</v>
      </c>
      <c r="AK254" s="43">
        <f t="shared" si="33"/>
        <v>0</v>
      </c>
      <c r="AL254" s="43">
        <f t="shared" si="33"/>
        <v>0</v>
      </c>
      <c r="AM254" s="43">
        <f t="shared" si="33"/>
        <v>0</v>
      </c>
    </row>
    <row r="255" spans="2:39" x14ac:dyDescent="0.2"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</row>
  </sheetData>
  <mergeCells count="27">
    <mergeCell ref="B12:C12"/>
    <mergeCell ref="B2:C2"/>
    <mergeCell ref="D2:E2"/>
    <mergeCell ref="B4:E4"/>
    <mergeCell ref="B9:C9"/>
    <mergeCell ref="B10:C10"/>
    <mergeCell ref="C32:D32"/>
    <mergeCell ref="B16:C16"/>
    <mergeCell ref="B17:C17"/>
    <mergeCell ref="B19:C19"/>
    <mergeCell ref="B21:E21"/>
    <mergeCell ref="B23:D23"/>
    <mergeCell ref="B25:E25"/>
    <mergeCell ref="C27:D27"/>
    <mergeCell ref="C28:D28"/>
    <mergeCell ref="C29:D29"/>
    <mergeCell ref="C30:D30"/>
    <mergeCell ref="C31:D31"/>
    <mergeCell ref="C39:D39"/>
    <mergeCell ref="C40:D40"/>
    <mergeCell ref="C41:D41"/>
    <mergeCell ref="C33:D33"/>
    <mergeCell ref="C34:D34"/>
    <mergeCell ref="C35:D35"/>
    <mergeCell ref="C36:D36"/>
    <mergeCell ref="C37:D37"/>
    <mergeCell ref="C38:D38"/>
  </mergeCells>
  <conditionalFormatting sqref="D73">
    <cfRule type="dataBar" priority="29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{98C7171E-97D4-024A-83BA-3960FE7B5301}</x14:id>
        </ext>
      </extLst>
    </cfRule>
  </conditionalFormatting>
  <conditionalFormatting sqref="D85">
    <cfRule type="dataBar" priority="28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{55A8DCBB-4D43-2549-A23A-08EC531CC9E7}</x14:id>
        </ext>
      </extLst>
    </cfRule>
  </conditionalFormatting>
  <conditionalFormatting sqref="B23:D23">
    <cfRule type="dataBar" priority="27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{1A0929ED-8FFB-3A4A-B110-A1E340A4452C}</x14:id>
        </ext>
      </extLst>
    </cfRule>
  </conditionalFormatting>
  <conditionalFormatting sqref="C27:D27">
    <cfRule type="dataBar" priority="26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{4175400A-FA6B-BD4C-98FF-08DD58596789}</x14:id>
        </ext>
      </extLst>
    </cfRule>
  </conditionalFormatting>
  <conditionalFormatting sqref="D97">
    <cfRule type="dataBar" priority="25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{B65E7679-6CBA-B94E-88A9-D2C9A3530AC6}</x14:id>
        </ext>
      </extLst>
    </cfRule>
  </conditionalFormatting>
  <conditionalFormatting sqref="C28:D28">
    <cfRule type="dataBar" priority="24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{BED83FEA-2AD2-724E-90FE-D874D2379E4E}</x14:id>
        </ext>
      </extLst>
    </cfRule>
  </conditionalFormatting>
  <conditionalFormatting sqref="C29:D29">
    <cfRule type="dataBar" priority="23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{413D4A10-F3F3-AF4B-B3A0-0D60E7DE4754}</x14:id>
        </ext>
      </extLst>
    </cfRule>
  </conditionalFormatting>
  <conditionalFormatting sqref="C30:D30">
    <cfRule type="dataBar" priority="22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{5C968658-DF42-1E4A-B78D-2DDAE6740080}</x14:id>
        </ext>
      </extLst>
    </cfRule>
  </conditionalFormatting>
  <conditionalFormatting sqref="C31:D31">
    <cfRule type="dataBar" priority="21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{1A48F255-FFF6-0744-B137-4BF477F30E8E}</x14:id>
        </ext>
      </extLst>
    </cfRule>
  </conditionalFormatting>
  <conditionalFormatting sqref="C32:D32">
    <cfRule type="dataBar" priority="20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{1442FBCB-74E2-E14B-94ED-DB55AC0CC500}</x14:id>
        </ext>
      </extLst>
    </cfRule>
  </conditionalFormatting>
  <conditionalFormatting sqref="C33:D33">
    <cfRule type="dataBar" priority="19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{69444558-6146-CF45-9BCE-62FF3CA258A3}</x14:id>
        </ext>
      </extLst>
    </cfRule>
  </conditionalFormatting>
  <conditionalFormatting sqref="C34:D34">
    <cfRule type="dataBar" priority="18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{C33CD725-E74E-9D4C-83EA-A61A7CC984B7}</x14:id>
        </ext>
      </extLst>
    </cfRule>
  </conditionalFormatting>
  <conditionalFormatting sqref="C35:D35">
    <cfRule type="dataBar" priority="17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{3A0C8417-9E43-FC4C-B368-56E4D81CC6AE}</x14:id>
        </ext>
      </extLst>
    </cfRule>
  </conditionalFormatting>
  <conditionalFormatting sqref="C36:D36">
    <cfRule type="dataBar" priority="16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{38397900-9BD4-EE41-8D51-F5CF2D0DFF64}</x14:id>
        </ext>
      </extLst>
    </cfRule>
  </conditionalFormatting>
  <conditionalFormatting sqref="C37:D37">
    <cfRule type="dataBar" priority="15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{48404164-F777-8B42-AC8A-65E4C8E49099}</x14:id>
        </ext>
      </extLst>
    </cfRule>
  </conditionalFormatting>
  <conditionalFormatting sqref="C38:D41">
    <cfRule type="dataBar" priority="14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{B1282C6D-40F2-AA48-96D4-40334D11F08F}</x14:id>
        </ext>
      </extLst>
    </cfRule>
  </conditionalFormatting>
  <conditionalFormatting sqref="D109">
    <cfRule type="dataBar" priority="13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{7AD8DF96-A7B1-8E4A-96B8-E3C0D1AEC779}</x14:id>
        </ext>
      </extLst>
    </cfRule>
  </conditionalFormatting>
  <conditionalFormatting sqref="D121">
    <cfRule type="dataBar" priority="12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{BDA853B3-8EFE-A942-B5A4-CA97457856AE}</x14:id>
        </ext>
      </extLst>
    </cfRule>
  </conditionalFormatting>
  <conditionalFormatting sqref="D133">
    <cfRule type="dataBar" priority="11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{0CDBBB2A-2EAE-6F43-B9DF-0BF6E1DD11CC}</x14:id>
        </ext>
      </extLst>
    </cfRule>
  </conditionalFormatting>
  <conditionalFormatting sqref="D145">
    <cfRule type="dataBar" priority="10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{F6DD0BE2-C975-0749-BC31-39CEE38BBDE8}</x14:id>
        </ext>
      </extLst>
    </cfRule>
  </conditionalFormatting>
  <conditionalFormatting sqref="D157">
    <cfRule type="dataBar" priority="9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{4F7D8DA2-EEEC-C349-997C-F40CDA6FCA0B}</x14:id>
        </ext>
      </extLst>
    </cfRule>
  </conditionalFormatting>
  <conditionalFormatting sqref="D169">
    <cfRule type="dataBar" priority="8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{CC841F42-ACBA-A145-BEBF-5F66457B416B}</x14:id>
        </ext>
      </extLst>
    </cfRule>
  </conditionalFormatting>
  <conditionalFormatting sqref="D181">
    <cfRule type="dataBar" priority="7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{7243A8A7-AC2E-014B-A3EA-8B607A28E563}</x14:id>
        </ext>
      </extLst>
    </cfRule>
  </conditionalFormatting>
  <conditionalFormatting sqref="D193">
    <cfRule type="dataBar" priority="6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{AE43AB19-F0A8-5E43-8821-587FEAB9D9D6}</x14:id>
        </ext>
      </extLst>
    </cfRule>
  </conditionalFormatting>
  <conditionalFormatting sqref="D205">
    <cfRule type="dataBar" priority="5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{5489136E-C3F2-1F4A-B98E-EE429C030EA4}</x14:id>
        </ext>
      </extLst>
    </cfRule>
  </conditionalFormatting>
  <conditionalFormatting sqref="D51">
    <cfRule type="dataBar" priority="4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{368024FE-3B81-3942-8C4B-876F4B76833A}</x14:id>
        </ext>
      </extLst>
    </cfRule>
  </conditionalFormatting>
  <conditionalFormatting sqref="D217">
    <cfRule type="dataBar" priority="3">
      <dataBar>
        <cfvo type="num" val="0"/>
        <cfvo type="formula" val="$C$217"/>
        <color rgb="FF92D050"/>
      </dataBar>
      <extLst>
        <ext xmlns:x14="http://schemas.microsoft.com/office/spreadsheetml/2009/9/main" uri="{B025F937-C7B1-47D3-B67F-A62EFF666E3E}">
          <x14:id>{AA48987D-C58E-9C49-9D39-E04B83C18550}</x14:id>
        </ext>
      </extLst>
    </cfRule>
  </conditionalFormatting>
  <conditionalFormatting sqref="D229">
    <cfRule type="dataBar" priority="2">
      <dataBar>
        <cfvo type="num" val="0"/>
        <cfvo type="formula" val="$C$229"/>
        <color rgb="FF92D050"/>
      </dataBar>
      <extLst>
        <ext xmlns:x14="http://schemas.microsoft.com/office/spreadsheetml/2009/9/main" uri="{B025F937-C7B1-47D3-B67F-A62EFF666E3E}">
          <x14:id>{440FBB71-3CBC-1843-92F7-32BDD4854A8A}</x14:id>
        </ext>
      </extLst>
    </cfRule>
  </conditionalFormatting>
  <conditionalFormatting sqref="D241">
    <cfRule type="dataBar" priority="1">
      <dataBar>
        <cfvo type="num" val="0"/>
        <cfvo type="formula" val="$C$241"/>
        <color rgb="FF92D050"/>
      </dataBar>
      <extLst>
        <ext xmlns:x14="http://schemas.microsoft.com/office/spreadsheetml/2009/9/main" uri="{B025F937-C7B1-47D3-B67F-A62EFF666E3E}">
          <x14:id>{4D498C21-AA76-0B4E-9768-AF7B0A9153B7}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8C7171E-97D4-024A-83BA-3960FE7B5301}">
            <x14:dataBar minLength="0" maxLength="100" gradient="0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55A8DCBB-4D43-2549-A23A-08EC531CC9E7}">
            <x14:dataBar minLength="0" maxLength="100" gradient="0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1A0929ED-8FFB-3A4A-B110-A1E340A4452C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4175400A-FA6B-BD4C-98FF-08DD58596789}">
            <x14:dataBar minLength="0" maxLength="100" gradient="0" direction="leftToRight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B65E7679-6CBA-B94E-88A9-D2C9A3530AC6}">
            <x14:dataBar minLength="0" maxLength="100" gradient="0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BED83FEA-2AD2-724E-90FE-D874D2379E4E}">
            <x14:dataBar minLength="0" maxLength="100" gradient="0" direction="leftToRight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413D4A10-F3F3-AF4B-B3A0-0D60E7DE4754}">
            <x14:dataBar minLength="0" maxLength="100" gradient="0" direction="leftToRight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5C968658-DF42-1E4A-B78D-2DDAE6740080}">
            <x14:dataBar minLength="0" maxLength="100" gradient="0" direction="leftToRight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1A48F255-FFF6-0744-B137-4BF477F30E8E}">
            <x14:dataBar minLength="0" maxLength="100" gradient="0" direction="leftToRight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1442FBCB-74E2-E14B-94ED-DB55AC0CC500}">
            <x14:dataBar minLength="0" maxLength="100" gradient="0" direction="leftToRight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69444558-6146-CF45-9BCE-62FF3CA258A3}">
            <x14:dataBar minLength="0" maxLength="100" gradient="0" direction="leftToRight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C33CD725-E74E-9D4C-83EA-A61A7CC984B7}">
            <x14:dataBar minLength="0" maxLength="100" gradient="0" direction="leftToRight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3A0C8417-9E43-FC4C-B368-56E4D81CC6AE}">
            <x14:dataBar minLength="0" maxLength="100" gradient="0" direction="leftToRight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38397900-9BD4-EE41-8D51-F5CF2D0DFF64}">
            <x14:dataBar minLength="0" maxLength="100" gradient="0" direction="leftToRight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48404164-F777-8B42-AC8A-65E4C8E49099}">
            <x14:dataBar minLength="0" maxLength="100" gradient="0" direction="leftToRight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B1282C6D-40F2-AA48-96D4-40334D11F08F}">
            <x14:dataBar minLength="0" maxLength="100" gradient="0" direction="leftToRight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C38:D41</xm:sqref>
        </x14:conditionalFormatting>
        <x14:conditionalFormatting xmlns:xm="http://schemas.microsoft.com/office/excel/2006/main">
          <x14:cfRule type="dataBar" id="{7AD8DF96-A7B1-8E4A-96B8-E3C0D1AEC779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D109</xm:sqref>
        </x14:conditionalFormatting>
        <x14:conditionalFormatting xmlns:xm="http://schemas.microsoft.com/office/excel/2006/main">
          <x14:cfRule type="dataBar" id="{BDA853B3-8EFE-A942-B5A4-CA97457856AE}">
            <x14:dataBar minLength="0" maxLength="100" gradient="0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D121</xm:sqref>
        </x14:conditionalFormatting>
        <x14:conditionalFormatting xmlns:xm="http://schemas.microsoft.com/office/excel/2006/main">
          <x14:cfRule type="dataBar" id="{0CDBBB2A-2EAE-6F43-B9DF-0BF6E1DD11CC}">
            <x14:dataBar minLength="0" maxLength="100" gradient="0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F6DD0BE2-C975-0749-BC31-39CEE38BBDE8}">
            <x14:dataBar minLength="0" maxLength="100" gradient="0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4F7D8DA2-EEEC-C349-997C-F40CDA6FCA0B}">
            <x14:dataBar minLength="0" maxLength="100" gradient="0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CC841F42-ACBA-A145-BEBF-5F66457B416B}">
            <x14:dataBar minLength="0" maxLength="100" gradient="0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7243A8A7-AC2E-014B-A3EA-8B607A28E563}">
            <x14:dataBar minLength="0" maxLength="100" gradient="0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AE43AB19-F0A8-5E43-8821-587FEAB9D9D6}">
            <x14:dataBar minLength="0" maxLength="100" gradient="0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D193</xm:sqref>
        </x14:conditionalFormatting>
        <x14:conditionalFormatting xmlns:xm="http://schemas.microsoft.com/office/excel/2006/main">
          <x14:cfRule type="dataBar" id="{5489136E-C3F2-1F4A-B98E-EE429C030EA4}">
            <x14:dataBar minLength="0" maxLength="100" gradient="0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D205</xm:sqref>
        </x14:conditionalFormatting>
        <x14:conditionalFormatting xmlns:xm="http://schemas.microsoft.com/office/excel/2006/main">
          <x14:cfRule type="dataBar" id="{368024FE-3B81-3942-8C4B-876F4B76833A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AA48987D-C58E-9C49-9D39-E04B83C18550}">
            <x14:dataBar minLength="0" maxLength="100" gradient="0">
              <x14:cfvo type="num">
                <xm:f>0</xm:f>
              </x14:cfvo>
              <x14:cfvo type="formula">
                <xm:f>$C$217</xm:f>
              </x14:cfvo>
              <x14:negativeFillColor rgb="FFFF0000"/>
              <x14:axisColor rgb="FF000000"/>
            </x14:dataBar>
          </x14:cfRule>
          <xm:sqref>D217</xm:sqref>
        </x14:conditionalFormatting>
        <x14:conditionalFormatting xmlns:xm="http://schemas.microsoft.com/office/excel/2006/main">
          <x14:cfRule type="dataBar" id="{440FBB71-3CBC-1843-92F7-32BDD4854A8A}">
            <x14:dataBar minLength="0" maxLength="100" gradient="0">
              <x14:cfvo type="num">
                <xm:f>0</xm:f>
              </x14:cfvo>
              <x14:cfvo type="formula">
                <xm:f>$C$229</xm:f>
              </x14:cfvo>
              <x14:negativeFillColor rgb="FFFF0000"/>
              <x14:axisColor rgb="FF000000"/>
            </x14:dataBar>
          </x14:cfRule>
          <xm:sqref>D229</xm:sqref>
        </x14:conditionalFormatting>
        <x14:conditionalFormatting xmlns:xm="http://schemas.microsoft.com/office/excel/2006/main">
          <x14:cfRule type="dataBar" id="{4D498C21-AA76-0B4E-9768-AF7B0A9153B7}">
            <x14:dataBar minLength="0" maxLength="100" gradient="0">
              <x14:cfvo type="num">
                <xm:f>0</xm:f>
              </x14:cfvo>
              <x14:cfvo type="formula">
                <xm:f>$C$241</xm:f>
              </x14:cfvo>
              <x14:negativeFillColor rgb="FFFF0000"/>
              <x14:axisColor rgb="FF000000"/>
            </x14:dataBar>
          </x14:cfRule>
          <xm:sqref>D241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PRZYKŁAD</vt:lpstr>
      <vt:lpstr>Wzorzec kategorii</vt:lpstr>
      <vt:lpstr>CAŁY ROK 2017</vt:lpstr>
      <vt:lpstr>2017.01</vt:lpstr>
      <vt:lpstr>2017.02</vt:lpstr>
      <vt:lpstr>2017.03</vt:lpstr>
      <vt:lpstr>2017.04</vt:lpstr>
      <vt:lpstr>2017.05</vt:lpstr>
      <vt:lpstr>2017.06</vt:lpstr>
      <vt:lpstr>2017.07</vt:lpstr>
      <vt:lpstr>2017.08</vt:lpstr>
      <vt:lpstr>2017.09</vt:lpstr>
      <vt:lpstr>2017.10</vt:lpstr>
      <vt:lpstr>2017.11</vt:lpstr>
      <vt:lpstr>2017.12</vt:lpstr>
    </vt:vector>
  </TitlesOfParts>
  <Company>http://jakoszczedzacpieniadze.pl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Szafrański</dc:creator>
  <cp:lastModifiedBy>Użytkownik Microsoft Office</cp:lastModifiedBy>
  <dcterms:created xsi:type="dcterms:W3CDTF">2015-03-09T10:18:31Z</dcterms:created>
  <dcterms:modified xsi:type="dcterms:W3CDTF">2016-12-20T19:47:11Z</dcterms:modified>
</cp:coreProperties>
</file>